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mortiss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\ &quot;€&quot;"/>
    <numFmt numFmtId="165" formatCode="0.00&quot;%&quot;"/>
    <numFmt numFmtId="166" formatCode="#,##0.00\ &quot;€&quot;"/>
  </numFmts>
  <fonts count="6">
    <font>
      <name val="Calibri"/>
      <family val="2"/>
      <color theme="1"/>
      <sz val="11"/>
      <scheme val="minor"/>
    </font>
    <font>
      <b val="1"/>
      <color rgb="000B2A4A"/>
      <sz val="14"/>
    </font>
    <font>
      <i val="1"/>
      <color rgb="00555555"/>
      <sz val="9"/>
    </font>
    <font>
      <b val="1"/>
      <color rgb="000B2A4A"/>
    </font>
    <font>
      <b val="1"/>
      <color rgb="001E5FAA"/>
      <sz val="12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E9EEFB"/>
      </patternFill>
    </fill>
    <fill>
      <patternFill patternType="solid">
        <fgColor rgb="001E5FAA"/>
      </patternFill>
    </fill>
  </fills>
  <borders count="2">
    <border>
      <left/>
      <right/>
      <top/>
      <bottom/>
      <diagonal/>
    </border>
    <border>
      <left style="thin">
        <color rgb="00C9D6EA"/>
      </left>
      <right style="thin">
        <color rgb="00C9D6EA"/>
      </right>
      <top style="thin">
        <color rgb="00C9D6EA"/>
      </top>
      <bottom style="thin">
        <color rgb="00C9D6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3" fillId="2" borderId="0" pivotButton="0" quotePrefix="0" xfId="0"/>
    <xf numFmtId="1" fontId="3" fillId="2" borderId="0" pivotButton="0" quotePrefix="0" xfId="0"/>
    <xf numFmtId="165" fontId="3" fillId="2" borderId="0" pivotButton="0" quotePrefix="0" xfId="0"/>
    <xf numFmtId="166" fontId="4" fillId="0" borderId="0" pivotButton="0" quotePrefix="0" xfId="0"/>
    <xf numFmtId="1" fontId="0" fillId="0" borderId="0" pivotButton="0" quotePrefix="0" xfId="0"/>
    <xf numFmtId="0" fontId="5" fillId="3" borderId="1" applyAlignment="1" pivotButton="0" quotePrefix="0" xfId="0">
      <alignment horizontal="center"/>
    </xf>
    <xf numFmtId="0" fontId="0" fillId="0" borderId="1" pivotButton="0" quotePrefix="0" xfId="0"/>
    <xf numFmtId="166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69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20" customWidth="1" min="4" max="4"/>
    <col width="18" customWidth="1" min="5" max="5"/>
  </cols>
  <sheetData>
    <row r="1">
      <c r="A1" s="1" t="inlineStr">
        <is>
          <t>Tableau d'amortissement de prêt immobilier — Selectra</t>
        </is>
      </c>
    </row>
    <row r="2">
      <c r="A2" s="2" t="inlineStr">
        <is>
          <t>Renseignez le montant, la durée et le taux : l'échéancier se recalcule automatiquement.</t>
        </is>
      </c>
    </row>
    <row r="3">
      <c r="A3" s="3" t="inlineStr">
        <is>
          <t>Montant emprunté (€)</t>
        </is>
      </c>
      <c r="B3" s="4" t="n">
        <v>200000</v>
      </c>
    </row>
    <row r="4">
      <c r="A4" s="3" t="inlineStr">
        <is>
          <t>Durée (années)</t>
        </is>
      </c>
      <c r="B4" s="5" t="n">
        <v>20</v>
      </c>
    </row>
    <row r="5">
      <c r="A5" s="3" t="inlineStr">
        <is>
          <t>Taux d'intérêt annuel (%)</t>
        </is>
      </c>
      <c r="B5" s="6" t="n">
        <v>3.5</v>
      </c>
    </row>
    <row r="6">
      <c r="A6" s="3" t="inlineStr">
        <is>
          <t>Mensualité (hors assurance)</t>
        </is>
      </c>
      <c r="B6" s="7">
        <f>IF(B5=0,B3/B7,B3*(B5/100/12)/(1-(1+B5/100/12)^(-B7)))</f>
        <v/>
      </c>
    </row>
    <row r="7">
      <c r="A7" s="3" t="inlineStr">
        <is>
          <t>Nombre de mensualités</t>
        </is>
      </c>
      <c r="B7" s="8">
        <f>B4*12</f>
        <v/>
      </c>
    </row>
    <row r="9">
      <c r="A9" s="9" t="inlineStr">
        <is>
          <t>Mois</t>
        </is>
      </c>
      <c r="B9" s="9" t="inlineStr">
        <is>
          <t>Mensualité</t>
        </is>
      </c>
      <c r="C9" s="9" t="inlineStr">
        <is>
          <t>Intérêts</t>
        </is>
      </c>
      <c r="D9" s="9" t="inlineStr">
        <is>
          <t>Capital remboursé</t>
        </is>
      </c>
      <c r="E9" s="9" t="inlineStr">
        <is>
          <t>Capital restant dû</t>
        </is>
      </c>
    </row>
    <row r="10">
      <c r="A10" s="10">
        <f>IF(1&lt;=$B$7,1,"")</f>
        <v/>
      </c>
      <c r="B10" s="11">
        <f>IF(1&lt;=$B$7,$B$6,"")</f>
        <v/>
      </c>
      <c r="C10" s="11">
        <f>IF(1&lt;=$B$7,$B$3*$B$5/100/12,"")</f>
        <v/>
      </c>
      <c r="D10" s="11">
        <f>IF(1&lt;=$B$7,$B$6-C10,"")</f>
        <v/>
      </c>
      <c r="E10" s="11">
        <f>IF(1&lt;=$B$7,$B$3-D10,"")</f>
        <v/>
      </c>
    </row>
    <row r="11">
      <c r="A11" s="10">
        <f>IF(2&lt;=$B$7,2,"")</f>
        <v/>
      </c>
      <c r="B11" s="11">
        <f>IF(2&lt;=$B$7,$B$6,"")</f>
        <v/>
      </c>
      <c r="C11" s="11">
        <f>IF(2&lt;=$B$7,E10*$B$5/100/12,"")</f>
        <v/>
      </c>
      <c r="D11" s="11">
        <f>IF(2&lt;=$B$7,$B$6-C11,"")</f>
        <v/>
      </c>
      <c r="E11" s="11">
        <f>IF(2&lt;=$B$7,E10-D11,"")</f>
        <v/>
      </c>
    </row>
    <row r="12">
      <c r="A12" s="10">
        <f>IF(3&lt;=$B$7,3,"")</f>
        <v/>
      </c>
      <c r="B12" s="11">
        <f>IF(3&lt;=$B$7,$B$6,"")</f>
        <v/>
      </c>
      <c r="C12" s="11">
        <f>IF(3&lt;=$B$7,E11*$B$5/100/12,"")</f>
        <v/>
      </c>
      <c r="D12" s="11">
        <f>IF(3&lt;=$B$7,$B$6-C12,"")</f>
        <v/>
      </c>
      <c r="E12" s="11">
        <f>IF(3&lt;=$B$7,E11-D12,"")</f>
        <v/>
      </c>
    </row>
    <row r="13">
      <c r="A13" s="10">
        <f>IF(4&lt;=$B$7,4,"")</f>
        <v/>
      </c>
      <c r="B13" s="11">
        <f>IF(4&lt;=$B$7,$B$6,"")</f>
        <v/>
      </c>
      <c r="C13" s="11">
        <f>IF(4&lt;=$B$7,E12*$B$5/100/12,"")</f>
        <v/>
      </c>
      <c r="D13" s="11">
        <f>IF(4&lt;=$B$7,$B$6-C13,"")</f>
        <v/>
      </c>
      <c r="E13" s="11">
        <f>IF(4&lt;=$B$7,E12-D13,"")</f>
        <v/>
      </c>
    </row>
    <row r="14">
      <c r="A14" s="10">
        <f>IF(5&lt;=$B$7,5,"")</f>
        <v/>
      </c>
      <c r="B14" s="11">
        <f>IF(5&lt;=$B$7,$B$6,"")</f>
        <v/>
      </c>
      <c r="C14" s="11">
        <f>IF(5&lt;=$B$7,E13*$B$5/100/12,"")</f>
        <v/>
      </c>
      <c r="D14" s="11">
        <f>IF(5&lt;=$B$7,$B$6-C14,"")</f>
        <v/>
      </c>
      <c r="E14" s="11">
        <f>IF(5&lt;=$B$7,E13-D14,"")</f>
        <v/>
      </c>
    </row>
    <row r="15">
      <c r="A15" s="10">
        <f>IF(6&lt;=$B$7,6,"")</f>
        <v/>
      </c>
      <c r="B15" s="11">
        <f>IF(6&lt;=$B$7,$B$6,"")</f>
        <v/>
      </c>
      <c r="C15" s="11">
        <f>IF(6&lt;=$B$7,E14*$B$5/100/12,"")</f>
        <v/>
      </c>
      <c r="D15" s="11">
        <f>IF(6&lt;=$B$7,$B$6-C15,"")</f>
        <v/>
      </c>
      <c r="E15" s="11">
        <f>IF(6&lt;=$B$7,E14-D15,"")</f>
        <v/>
      </c>
    </row>
    <row r="16">
      <c r="A16" s="10">
        <f>IF(7&lt;=$B$7,7,"")</f>
        <v/>
      </c>
      <c r="B16" s="11">
        <f>IF(7&lt;=$B$7,$B$6,"")</f>
        <v/>
      </c>
      <c r="C16" s="11">
        <f>IF(7&lt;=$B$7,E15*$B$5/100/12,"")</f>
        <v/>
      </c>
      <c r="D16" s="11">
        <f>IF(7&lt;=$B$7,$B$6-C16,"")</f>
        <v/>
      </c>
      <c r="E16" s="11">
        <f>IF(7&lt;=$B$7,E15-D16,"")</f>
        <v/>
      </c>
    </row>
    <row r="17">
      <c r="A17" s="10">
        <f>IF(8&lt;=$B$7,8,"")</f>
        <v/>
      </c>
      <c r="B17" s="11">
        <f>IF(8&lt;=$B$7,$B$6,"")</f>
        <v/>
      </c>
      <c r="C17" s="11">
        <f>IF(8&lt;=$B$7,E16*$B$5/100/12,"")</f>
        <v/>
      </c>
      <c r="D17" s="11">
        <f>IF(8&lt;=$B$7,$B$6-C17,"")</f>
        <v/>
      </c>
      <c r="E17" s="11">
        <f>IF(8&lt;=$B$7,E16-D17,"")</f>
        <v/>
      </c>
    </row>
    <row r="18">
      <c r="A18" s="10">
        <f>IF(9&lt;=$B$7,9,"")</f>
        <v/>
      </c>
      <c r="B18" s="11">
        <f>IF(9&lt;=$B$7,$B$6,"")</f>
        <v/>
      </c>
      <c r="C18" s="11">
        <f>IF(9&lt;=$B$7,E17*$B$5/100/12,"")</f>
        <v/>
      </c>
      <c r="D18" s="11">
        <f>IF(9&lt;=$B$7,$B$6-C18,"")</f>
        <v/>
      </c>
      <c r="E18" s="11">
        <f>IF(9&lt;=$B$7,E17-D18,"")</f>
        <v/>
      </c>
    </row>
    <row r="19">
      <c r="A19" s="10">
        <f>IF(10&lt;=$B$7,10,"")</f>
        <v/>
      </c>
      <c r="B19" s="11">
        <f>IF(10&lt;=$B$7,$B$6,"")</f>
        <v/>
      </c>
      <c r="C19" s="11">
        <f>IF(10&lt;=$B$7,E18*$B$5/100/12,"")</f>
        <v/>
      </c>
      <c r="D19" s="11">
        <f>IF(10&lt;=$B$7,$B$6-C19,"")</f>
        <v/>
      </c>
      <c r="E19" s="11">
        <f>IF(10&lt;=$B$7,E18-D19,"")</f>
        <v/>
      </c>
    </row>
    <row r="20">
      <c r="A20" s="10">
        <f>IF(11&lt;=$B$7,11,"")</f>
        <v/>
      </c>
      <c r="B20" s="11">
        <f>IF(11&lt;=$B$7,$B$6,"")</f>
        <v/>
      </c>
      <c r="C20" s="11">
        <f>IF(11&lt;=$B$7,E19*$B$5/100/12,"")</f>
        <v/>
      </c>
      <c r="D20" s="11">
        <f>IF(11&lt;=$B$7,$B$6-C20,"")</f>
        <v/>
      </c>
      <c r="E20" s="11">
        <f>IF(11&lt;=$B$7,E19-D20,"")</f>
        <v/>
      </c>
    </row>
    <row r="21">
      <c r="A21" s="10">
        <f>IF(12&lt;=$B$7,12,"")</f>
        <v/>
      </c>
      <c r="B21" s="11">
        <f>IF(12&lt;=$B$7,$B$6,"")</f>
        <v/>
      </c>
      <c r="C21" s="11">
        <f>IF(12&lt;=$B$7,E20*$B$5/100/12,"")</f>
        <v/>
      </c>
      <c r="D21" s="11">
        <f>IF(12&lt;=$B$7,$B$6-C21,"")</f>
        <v/>
      </c>
      <c r="E21" s="11">
        <f>IF(12&lt;=$B$7,E20-D21,"")</f>
        <v/>
      </c>
    </row>
    <row r="22">
      <c r="A22" s="10">
        <f>IF(13&lt;=$B$7,13,"")</f>
        <v/>
      </c>
      <c r="B22" s="11">
        <f>IF(13&lt;=$B$7,$B$6,"")</f>
        <v/>
      </c>
      <c r="C22" s="11">
        <f>IF(13&lt;=$B$7,E21*$B$5/100/12,"")</f>
        <v/>
      </c>
      <c r="D22" s="11">
        <f>IF(13&lt;=$B$7,$B$6-C22,"")</f>
        <v/>
      </c>
      <c r="E22" s="11">
        <f>IF(13&lt;=$B$7,E21-D22,"")</f>
        <v/>
      </c>
    </row>
    <row r="23">
      <c r="A23" s="10">
        <f>IF(14&lt;=$B$7,14,"")</f>
        <v/>
      </c>
      <c r="B23" s="11">
        <f>IF(14&lt;=$B$7,$B$6,"")</f>
        <v/>
      </c>
      <c r="C23" s="11">
        <f>IF(14&lt;=$B$7,E22*$B$5/100/12,"")</f>
        <v/>
      </c>
      <c r="D23" s="11">
        <f>IF(14&lt;=$B$7,$B$6-C23,"")</f>
        <v/>
      </c>
      <c r="E23" s="11">
        <f>IF(14&lt;=$B$7,E22-D23,"")</f>
        <v/>
      </c>
    </row>
    <row r="24">
      <c r="A24" s="10">
        <f>IF(15&lt;=$B$7,15,"")</f>
        <v/>
      </c>
      <c r="B24" s="11">
        <f>IF(15&lt;=$B$7,$B$6,"")</f>
        <v/>
      </c>
      <c r="C24" s="11">
        <f>IF(15&lt;=$B$7,E23*$B$5/100/12,"")</f>
        <v/>
      </c>
      <c r="D24" s="11">
        <f>IF(15&lt;=$B$7,$B$6-C24,"")</f>
        <v/>
      </c>
      <c r="E24" s="11">
        <f>IF(15&lt;=$B$7,E23-D24,"")</f>
        <v/>
      </c>
    </row>
    <row r="25">
      <c r="A25" s="10">
        <f>IF(16&lt;=$B$7,16,"")</f>
        <v/>
      </c>
      <c r="B25" s="11">
        <f>IF(16&lt;=$B$7,$B$6,"")</f>
        <v/>
      </c>
      <c r="C25" s="11">
        <f>IF(16&lt;=$B$7,E24*$B$5/100/12,"")</f>
        <v/>
      </c>
      <c r="D25" s="11">
        <f>IF(16&lt;=$B$7,$B$6-C25,"")</f>
        <v/>
      </c>
      <c r="E25" s="11">
        <f>IF(16&lt;=$B$7,E24-D25,"")</f>
        <v/>
      </c>
    </row>
    <row r="26">
      <c r="A26" s="10">
        <f>IF(17&lt;=$B$7,17,"")</f>
        <v/>
      </c>
      <c r="B26" s="11">
        <f>IF(17&lt;=$B$7,$B$6,"")</f>
        <v/>
      </c>
      <c r="C26" s="11">
        <f>IF(17&lt;=$B$7,E25*$B$5/100/12,"")</f>
        <v/>
      </c>
      <c r="D26" s="11">
        <f>IF(17&lt;=$B$7,$B$6-C26,"")</f>
        <v/>
      </c>
      <c r="E26" s="11">
        <f>IF(17&lt;=$B$7,E25-D26,"")</f>
        <v/>
      </c>
    </row>
    <row r="27">
      <c r="A27" s="10">
        <f>IF(18&lt;=$B$7,18,"")</f>
        <v/>
      </c>
      <c r="B27" s="11">
        <f>IF(18&lt;=$B$7,$B$6,"")</f>
        <v/>
      </c>
      <c r="C27" s="11">
        <f>IF(18&lt;=$B$7,E26*$B$5/100/12,"")</f>
        <v/>
      </c>
      <c r="D27" s="11">
        <f>IF(18&lt;=$B$7,$B$6-C27,"")</f>
        <v/>
      </c>
      <c r="E27" s="11">
        <f>IF(18&lt;=$B$7,E26-D27,"")</f>
        <v/>
      </c>
    </row>
    <row r="28">
      <c r="A28" s="10">
        <f>IF(19&lt;=$B$7,19,"")</f>
        <v/>
      </c>
      <c r="B28" s="11">
        <f>IF(19&lt;=$B$7,$B$6,"")</f>
        <v/>
      </c>
      <c r="C28" s="11">
        <f>IF(19&lt;=$B$7,E27*$B$5/100/12,"")</f>
        <v/>
      </c>
      <c r="D28" s="11">
        <f>IF(19&lt;=$B$7,$B$6-C28,"")</f>
        <v/>
      </c>
      <c r="E28" s="11">
        <f>IF(19&lt;=$B$7,E27-D28,"")</f>
        <v/>
      </c>
    </row>
    <row r="29">
      <c r="A29" s="10">
        <f>IF(20&lt;=$B$7,20,"")</f>
        <v/>
      </c>
      <c r="B29" s="11">
        <f>IF(20&lt;=$B$7,$B$6,"")</f>
        <v/>
      </c>
      <c r="C29" s="11">
        <f>IF(20&lt;=$B$7,E28*$B$5/100/12,"")</f>
        <v/>
      </c>
      <c r="D29" s="11">
        <f>IF(20&lt;=$B$7,$B$6-C29,"")</f>
        <v/>
      </c>
      <c r="E29" s="11">
        <f>IF(20&lt;=$B$7,E28-D29,"")</f>
        <v/>
      </c>
    </row>
    <row r="30">
      <c r="A30" s="10">
        <f>IF(21&lt;=$B$7,21,"")</f>
        <v/>
      </c>
      <c r="B30" s="11">
        <f>IF(21&lt;=$B$7,$B$6,"")</f>
        <v/>
      </c>
      <c r="C30" s="11">
        <f>IF(21&lt;=$B$7,E29*$B$5/100/12,"")</f>
        <v/>
      </c>
      <c r="D30" s="11">
        <f>IF(21&lt;=$B$7,$B$6-C30,"")</f>
        <v/>
      </c>
      <c r="E30" s="11">
        <f>IF(21&lt;=$B$7,E29-D30,"")</f>
        <v/>
      </c>
    </row>
    <row r="31">
      <c r="A31" s="10">
        <f>IF(22&lt;=$B$7,22,"")</f>
        <v/>
      </c>
      <c r="B31" s="11">
        <f>IF(22&lt;=$B$7,$B$6,"")</f>
        <v/>
      </c>
      <c r="C31" s="11">
        <f>IF(22&lt;=$B$7,E30*$B$5/100/12,"")</f>
        <v/>
      </c>
      <c r="D31" s="11">
        <f>IF(22&lt;=$B$7,$B$6-C31,"")</f>
        <v/>
      </c>
      <c r="E31" s="11">
        <f>IF(22&lt;=$B$7,E30-D31,"")</f>
        <v/>
      </c>
    </row>
    <row r="32">
      <c r="A32" s="10">
        <f>IF(23&lt;=$B$7,23,"")</f>
        <v/>
      </c>
      <c r="B32" s="11">
        <f>IF(23&lt;=$B$7,$B$6,"")</f>
        <v/>
      </c>
      <c r="C32" s="11">
        <f>IF(23&lt;=$B$7,E31*$B$5/100/12,"")</f>
        <v/>
      </c>
      <c r="D32" s="11">
        <f>IF(23&lt;=$B$7,$B$6-C32,"")</f>
        <v/>
      </c>
      <c r="E32" s="11">
        <f>IF(23&lt;=$B$7,E31-D32,"")</f>
        <v/>
      </c>
    </row>
    <row r="33">
      <c r="A33" s="10">
        <f>IF(24&lt;=$B$7,24,"")</f>
        <v/>
      </c>
      <c r="B33" s="11">
        <f>IF(24&lt;=$B$7,$B$6,"")</f>
        <v/>
      </c>
      <c r="C33" s="11">
        <f>IF(24&lt;=$B$7,E32*$B$5/100/12,"")</f>
        <v/>
      </c>
      <c r="D33" s="11">
        <f>IF(24&lt;=$B$7,$B$6-C33,"")</f>
        <v/>
      </c>
      <c r="E33" s="11">
        <f>IF(24&lt;=$B$7,E32-D33,"")</f>
        <v/>
      </c>
    </row>
    <row r="34">
      <c r="A34" s="10">
        <f>IF(25&lt;=$B$7,25,"")</f>
        <v/>
      </c>
      <c r="B34" s="11">
        <f>IF(25&lt;=$B$7,$B$6,"")</f>
        <v/>
      </c>
      <c r="C34" s="11">
        <f>IF(25&lt;=$B$7,E33*$B$5/100/12,"")</f>
        <v/>
      </c>
      <c r="D34" s="11">
        <f>IF(25&lt;=$B$7,$B$6-C34,"")</f>
        <v/>
      </c>
      <c r="E34" s="11">
        <f>IF(25&lt;=$B$7,E33-D34,"")</f>
        <v/>
      </c>
    </row>
    <row r="35">
      <c r="A35" s="10">
        <f>IF(26&lt;=$B$7,26,"")</f>
        <v/>
      </c>
      <c r="B35" s="11">
        <f>IF(26&lt;=$B$7,$B$6,"")</f>
        <v/>
      </c>
      <c r="C35" s="11">
        <f>IF(26&lt;=$B$7,E34*$B$5/100/12,"")</f>
        <v/>
      </c>
      <c r="D35" s="11">
        <f>IF(26&lt;=$B$7,$B$6-C35,"")</f>
        <v/>
      </c>
      <c r="E35" s="11">
        <f>IF(26&lt;=$B$7,E34-D35,"")</f>
        <v/>
      </c>
    </row>
    <row r="36">
      <c r="A36" s="10">
        <f>IF(27&lt;=$B$7,27,"")</f>
        <v/>
      </c>
      <c r="B36" s="11">
        <f>IF(27&lt;=$B$7,$B$6,"")</f>
        <v/>
      </c>
      <c r="C36" s="11">
        <f>IF(27&lt;=$B$7,E35*$B$5/100/12,"")</f>
        <v/>
      </c>
      <c r="D36" s="11">
        <f>IF(27&lt;=$B$7,$B$6-C36,"")</f>
        <v/>
      </c>
      <c r="E36" s="11">
        <f>IF(27&lt;=$B$7,E35-D36,"")</f>
        <v/>
      </c>
    </row>
    <row r="37">
      <c r="A37" s="10">
        <f>IF(28&lt;=$B$7,28,"")</f>
        <v/>
      </c>
      <c r="B37" s="11">
        <f>IF(28&lt;=$B$7,$B$6,"")</f>
        <v/>
      </c>
      <c r="C37" s="11">
        <f>IF(28&lt;=$B$7,E36*$B$5/100/12,"")</f>
        <v/>
      </c>
      <c r="D37" s="11">
        <f>IF(28&lt;=$B$7,$B$6-C37,"")</f>
        <v/>
      </c>
      <c r="E37" s="11">
        <f>IF(28&lt;=$B$7,E36-D37,"")</f>
        <v/>
      </c>
    </row>
    <row r="38">
      <c r="A38" s="10">
        <f>IF(29&lt;=$B$7,29,"")</f>
        <v/>
      </c>
      <c r="B38" s="11">
        <f>IF(29&lt;=$B$7,$B$6,"")</f>
        <v/>
      </c>
      <c r="C38" s="11">
        <f>IF(29&lt;=$B$7,E37*$B$5/100/12,"")</f>
        <v/>
      </c>
      <c r="D38" s="11">
        <f>IF(29&lt;=$B$7,$B$6-C38,"")</f>
        <v/>
      </c>
      <c r="E38" s="11">
        <f>IF(29&lt;=$B$7,E37-D38,"")</f>
        <v/>
      </c>
    </row>
    <row r="39">
      <c r="A39" s="10">
        <f>IF(30&lt;=$B$7,30,"")</f>
        <v/>
      </c>
      <c r="B39" s="11">
        <f>IF(30&lt;=$B$7,$B$6,"")</f>
        <v/>
      </c>
      <c r="C39" s="11">
        <f>IF(30&lt;=$B$7,E38*$B$5/100/12,"")</f>
        <v/>
      </c>
      <c r="D39" s="11">
        <f>IF(30&lt;=$B$7,$B$6-C39,"")</f>
        <v/>
      </c>
      <c r="E39" s="11">
        <f>IF(30&lt;=$B$7,E38-D39,"")</f>
        <v/>
      </c>
    </row>
    <row r="40">
      <c r="A40" s="10">
        <f>IF(31&lt;=$B$7,31,"")</f>
        <v/>
      </c>
      <c r="B40" s="11">
        <f>IF(31&lt;=$B$7,$B$6,"")</f>
        <v/>
      </c>
      <c r="C40" s="11">
        <f>IF(31&lt;=$B$7,E39*$B$5/100/12,"")</f>
        <v/>
      </c>
      <c r="D40" s="11">
        <f>IF(31&lt;=$B$7,$B$6-C40,"")</f>
        <v/>
      </c>
      <c r="E40" s="11">
        <f>IF(31&lt;=$B$7,E39-D40,"")</f>
        <v/>
      </c>
    </row>
    <row r="41">
      <c r="A41" s="10">
        <f>IF(32&lt;=$B$7,32,"")</f>
        <v/>
      </c>
      <c r="B41" s="11">
        <f>IF(32&lt;=$B$7,$B$6,"")</f>
        <v/>
      </c>
      <c r="C41" s="11">
        <f>IF(32&lt;=$B$7,E40*$B$5/100/12,"")</f>
        <v/>
      </c>
      <c r="D41" s="11">
        <f>IF(32&lt;=$B$7,$B$6-C41,"")</f>
        <v/>
      </c>
      <c r="E41" s="11">
        <f>IF(32&lt;=$B$7,E40-D41,"")</f>
        <v/>
      </c>
    </row>
    <row r="42">
      <c r="A42" s="10">
        <f>IF(33&lt;=$B$7,33,"")</f>
        <v/>
      </c>
      <c r="B42" s="11">
        <f>IF(33&lt;=$B$7,$B$6,"")</f>
        <v/>
      </c>
      <c r="C42" s="11">
        <f>IF(33&lt;=$B$7,E41*$B$5/100/12,"")</f>
        <v/>
      </c>
      <c r="D42" s="11">
        <f>IF(33&lt;=$B$7,$B$6-C42,"")</f>
        <v/>
      </c>
      <c r="E42" s="11">
        <f>IF(33&lt;=$B$7,E41-D42,"")</f>
        <v/>
      </c>
    </row>
    <row r="43">
      <c r="A43" s="10">
        <f>IF(34&lt;=$B$7,34,"")</f>
        <v/>
      </c>
      <c r="B43" s="11">
        <f>IF(34&lt;=$B$7,$B$6,"")</f>
        <v/>
      </c>
      <c r="C43" s="11">
        <f>IF(34&lt;=$B$7,E42*$B$5/100/12,"")</f>
        <v/>
      </c>
      <c r="D43" s="11">
        <f>IF(34&lt;=$B$7,$B$6-C43,"")</f>
        <v/>
      </c>
      <c r="E43" s="11">
        <f>IF(34&lt;=$B$7,E42-D43,"")</f>
        <v/>
      </c>
    </row>
    <row r="44">
      <c r="A44" s="10">
        <f>IF(35&lt;=$B$7,35,"")</f>
        <v/>
      </c>
      <c r="B44" s="11">
        <f>IF(35&lt;=$B$7,$B$6,"")</f>
        <v/>
      </c>
      <c r="C44" s="11">
        <f>IF(35&lt;=$B$7,E43*$B$5/100/12,"")</f>
        <v/>
      </c>
      <c r="D44" s="11">
        <f>IF(35&lt;=$B$7,$B$6-C44,"")</f>
        <v/>
      </c>
      <c r="E44" s="11">
        <f>IF(35&lt;=$B$7,E43-D44,"")</f>
        <v/>
      </c>
    </row>
    <row r="45">
      <c r="A45" s="10">
        <f>IF(36&lt;=$B$7,36,"")</f>
        <v/>
      </c>
      <c r="B45" s="11">
        <f>IF(36&lt;=$B$7,$B$6,"")</f>
        <v/>
      </c>
      <c r="C45" s="11">
        <f>IF(36&lt;=$B$7,E44*$B$5/100/12,"")</f>
        <v/>
      </c>
      <c r="D45" s="11">
        <f>IF(36&lt;=$B$7,$B$6-C45,"")</f>
        <v/>
      </c>
      <c r="E45" s="11">
        <f>IF(36&lt;=$B$7,E44-D45,"")</f>
        <v/>
      </c>
    </row>
    <row r="46">
      <c r="A46" s="10">
        <f>IF(37&lt;=$B$7,37,"")</f>
        <v/>
      </c>
      <c r="B46" s="11">
        <f>IF(37&lt;=$B$7,$B$6,"")</f>
        <v/>
      </c>
      <c r="C46" s="11">
        <f>IF(37&lt;=$B$7,E45*$B$5/100/12,"")</f>
        <v/>
      </c>
      <c r="D46" s="11">
        <f>IF(37&lt;=$B$7,$B$6-C46,"")</f>
        <v/>
      </c>
      <c r="E46" s="11">
        <f>IF(37&lt;=$B$7,E45-D46,"")</f>
        <v/>
      </c>
    </row>
    <row r="47">
      <c r="A47" s="10">
        <f>IF(38&lt;=$B$7,38,"")</f>
        <v/>
      </c>
      <c r="B47" s="11">
        <f>IF(38&lt;=$B$7,$B$6,"")</f>
        <v/>
      </c>
      <c r="C47" s="11">
        <f>IF(38&lt;=$B$7,E46*$B$5/100/12,"")</f>
        <v/>
      </c>
      <c r="D47" s="11">
        <f>IF(38&lt;=$B$7,$B$6-C47,"")</f>
        <v/>
      </c>
      <c r="E47" s="11">
        <f>IF(38&lt;=$B$7,E46-D47,"")</f>
        <v/>
      </c>
    </row>
    <row r="48">
      <c r="A48" s="10">
        <f>IF(39&lt;=$B$7,39,"")</f>
        <v/>
      </c>
      <c r="B48" s="11">
        <f>IF(39&lt;=$B$7,$B$6,"")</f>
        <v/>
      </c>
      <c r="C48" s="11">
        <f>IF(39&lt;=$B$7,E47*$B$5/100/12,"")</f>
        <v/>
      </c>
      <c r="D48" s="11">
        <f>IF(39&lt;=$B$7,$B$6-C48,"")</f>
        <v/>
      </c>
      <c r="E48" s="11">
        <f>IF(39&lt;=$B$7,E47-D48,"")</f>
        <v/>
      </c>
    </row>
    <row r="49">
      <c r="A49" s="10">
        <f>IF(40&lt;=$B$7,40,"")</f>
        <v/>
      </c>
      <c r="B49" s="11">
        <f>IF(40&lt;=$B$7,$B$6,"")</f>
        <v/>
      </c>
      <c r="C49" s="11">
        <f>IF(40&lt;=$B$7,E48*$B$5/100/12,"")</f>
        <v/>
      </c>
      <c r="D49" s="11">
        <f>IF(40&lt;=$B$7,$B$6-C49,"")</f>
        <v/>
      </c>
      <c r="E49" s="11">
        <f>IF(40&lt;=$B$7,E48-D49,"")</f>
        <v/>
      </c>
    </row>
    <row r="50">
      <c r="A50" s="10">
        <f>IF(41&lt;=$B$7,41,"")</f>
        <v/>
      </c>
      <c r="B50" s="11">
        <f>IF(41&lt;=$B$7,$B$6,"")</f>
        <v/>
      </c>
      <c r="C50" s="11">
        <f>IF(41&lt;=$B$7,E49*$B$5/100/12,"")</f>
        <v/>
      </c>
      <c r="D50" s="11">
        <f>IF(41&lt;=$B$7,$B$6-C50,"")</f>
        <v/>
      </c>
      <c r="E50" s="11">
        <f>IF(41&lt;=$B$7,E49-D50,"")</f>
        <v/>
      </c>
    </row>
    <row r="51">
      <c r="A51" s="10">
        <f>IF(42&lt;=$B$7,42,"")</f>
        <v/>
      </c>
      <c r="B51" s="11">
        <f>IF(42&lt;=$B$7,$B$6,"")</f>
        <v/>
      </c>
      <c r="C51" s="11">
        <f>IF(42&lt;=$B$7,E50*$B$5/100/12,"")</f>
        <v/>
      </c>
      <c r="D51" s="11">
        <f>IF(42&lt;=$B$7,$B$6-C51,"")</f>
        <v/>
      </c>
      <c r="E51" s="11">
        <f>IF(42&lt;=$B$7,E50-D51,"")</f>
        <v/>
      </c>
    </row>
    <row r="52">
      <c r="A52" s="10">
        <f>IF(43&lt;=$B$7,43,"")</f>
        <v/>
      </c>
      <c r="B52" s="11">
        <f>IF(43&lt;=$B$7,$B$6,"")</f>
        <v/>
      </c>
      <c r="C52" s="11">
        <f>IF(43&lt;=$B$7,E51*$B$5/100/12,"")</f>
        <v/>
      </c>
      <c r="D52" s="11">
        <f>IF(43&lt;=$B$7,$B$6-C52,"")</f>
        <v/>
      </c>
      <c r="E52" s="11">
        <f>IF(43&lt;=$B$7,E51-D52,"")</f>
        <v/>
      </c>
    </row>
    <row r="53">
      <c r="A53" s="10">
        <f>IF(44&lt;=$B$7,44,"")</f>
        <v/>
      </c>
      <c r="B53" s="11">
        <f>IF(44&lt;=$B$7,$B$6,"")</f>
        <v/>
      </c>
      <c r="C53" s="11">
        <f>IF(44&lt;=$B$7,E52*$B$5/100/12,"")</f>
        <v/>
      </c>
      <c r="D53" s="11">
        <f>IF(44&lt;=$B$7,$B$6-C53,"")</f>
        <v/>
      </c>
      <c r="E53" s="11">
        <f>IF(44&lt;=$B$7,E52-D53,"")</f>
        <v/>
      </c>
    </row>
    <row r="54">
      <c r="A54" s="10">
        <f>IF(45&lt;=$B$7,45,"")</f>
        <v/>
      </c>
      <c r="B54" s="11">
        <f>IF(45&lt;=$B$7,$B$6,"")</f>
        <v/>
      </c>
      <c r="C54" s="11">
        <f>IF(45&lt;=$B$7,E53*$B$5/100/12,"")</f>
        <v/>
      </c>
      <c r="D54" s="11">
        <f>IF(45&lt;=$B$7,$B$6-C54,"")</f>
        <v/>
      </c>
      <c r="E54" s="11">
        <f>IF(45&lt;=$B$7,E53-D54,"")</f>
        <v/>
      </c>
    </row>
    <row r="55">
      <c r="A55" s="10">
        <f>IF(46&lt;=$B$7,46,"")</f>
        <v/>
      </c>
      <c r="B55" s="11">
        <f>IF(46&lt;=$B$7,$B$6,"")</f>
        <v/>
      </c>
      <c r="C55" s="11">
        <f>IF(46&lt;=$B$7,E54*$B$5/100/12,"")</f>
        <v/>
      </c>
      <c r="D55" s="11">
        <f>IF(46&lt;=$B$7,$B$6-C55,"")</f>
        <v/>
      </c>
      <c r="E55" s="11">
        <f>IF(46&lt;=$B$7,E54-D55,"")</f>
        <v/>
      </c>
    </row>
    <row r="56">
      <c r="A56" s="10">
        <f>IF(47&lt;=$B$7,47,"")</f>
        <v/>
      </c>
      <c r="B56" s="11">
        <f>IF(47&lt;=$B$7,$B$6,"")</f>
        <v/>
      </c>
      <c r="C56" s="11">
        <f>IF(47&lt;=$B$7,E55*$B$5/100/12,"")</f>
        <v/>
      </c>
      <c r="D56" s="11">
        <f>IF(47&lt;=$B$7,$B$6-C56,"")</f>
        <v/>
      </c>
      <c r="E56" s="11">
        <f>IF(47&lt;=$B$7,E55-D56,"")</f>
        <v/>
      </c>
    </row>
    <row r="57">
      <c r="A57" s="10">
        <f>IF(48&lt;=$B$7,48,"")</f>
        <v/>
      </c>
      <c r="B57" s="11">
        <f>IF(48&lt;=$B$7,$B$6,"")</f>
        <v/>
      </c>
      <c r="C57" s="11">
        <f>IF(48&lt;=$B$7,E56*$B$5/100/12,"")</f>
        <v/>
      </c>
      <c r="D57" s="11">
        <f>IF(48&lt;=$B$7,$B$6-C57,"")</f>
        <v/>
      </c>
      <c r="E57" s="11">
        <f>IF(48&lt;=$B$7,E56-D57,"")</f>
        <v/>
      </c>
    </row>
    <row r="58">
      <c r="A58" s="10">
        <f>IF(49&lt;=$B$7,49,"")</f>
        <v/>
      </c>
      <c r="B58" s="11">
        <f>IF(49&lt;=$B$7,$B$6,"")</f>
        <v/>
      </c>
      <c r="C58" s="11">
        <f>IF(49&lt;=$B$7,E57*$B$5/100/12,"")</f>
        <v/>
      </c>
      <c r="D58" s="11">
        <f>IF(49&lt;=$B$7,$B$6-C58,"")</f>
        <v/>
      </c>
      <c r="E58" s="11">
        <f>IF(49&lt;=$B$7,E57-D58,"")</f>
        <v/>
      </c>
    </row>
    <row r="59">
      <c r="A59" s="10">
        <f>IF(50&lt;=$B$7,50,"")</f>
        <v/>
      </c>
      <c r="B59" s="11">
        <f>IF(50&lt;=$B$7,$B$6,"")</f>
        <v/>
      </c>
      <c r="C59" s="11">
        <f>IF(50&lt;=$B$7,E58*$B$5/100/12,"")</f>
        <v/>
      </c>
      <c r="D59" s="11">
        <f>IF(50&lt;=$B$7,$B$6-C59,"")</f>
        <v/>
      </c>
      <c r="E59" s="11">
        <f>IF(50&lt;=$B$7,E58-D59,"")</f>
        <v/>
      </c>
    </row>
    <row r="60">
      <c r="A60" s="10">
        <f>IF(51&lt;=$B$7,51,"")</f>
        <v/>
      </c>
      <c r="B60" s="11">
        <f>IF(51&lt;=$B$7,$B$6,"")</f>
        <v/>
      </c>
      <c r="C60" s="11">
        <f>IF(51&lt;=$B$7,E59*$B$5/100/12,"")</f>
        <v/>
      </c>
      <c r="D60" s="11">
        <f>IF(51&lt;=$B$7,$B$6-C60,"")</f>
        <v/>
      </c>
      <c r="E60" s="11">
        <f>IF(51&lt;=$B$7,E59-D60,"")</f>
        <v/>
      </c>
    </row>
    <row r="61">
      <c r="A61" s="10">
        <f>IF(52&lt;=$B$7,52,"")</f>
        <v/>
      </c>
      <c r="B61" s="11">
        <f>IF(52&lt;=$B$7,$B$6,"")</f>
        <v/>
      </c>
      <c r="C61" s="11">
        <f>IF(52&lt;=$B$7,E60*$B$5/100/12,"")</f>
        <v/>
      </c>
      <c r="D61" s="11">
        <f>IF(52&lt;=$B$7,$B$6-C61,"")</f>
        <v/>
      </c>
      <c r="E61" s="11">
        <f>IF(52&lt;=$B$7,E60-D61,"")</f>
        <v/>
      </c>
    </row>
    <row r="62">
      <c r="A62" s="10">
        <f>IF(53&lt;=$B$7,53,"")</f>
        <v/>
      </c>
      <c r="B62" s="11">
        <f>IF(53&lt;=$B$7,$B$6,"")</f>
        <v/>
      </c>
      <c r="C62" s="11">
        <f>IF(53&lt;=$B$7,E61*$B$5/100/12,"")</f>
        <v/>
      </c>
      <c r="D62" s="11">
        <f>IF(53&lt;=$B$7,$B$6-C62,"")</f>
        <v/>
      </c>
      <c r="E62" s="11">
        <f>IF(53&lt;=$B$7,E61-D62,"")</f>
        <v/>
      </c>
    </row>
    <row r="63">
      <c r="A63" s="10">
        <f>IF(54&lt;=$B$7,54,"")</f>
        <v/>
      </c>
      <c r="B63" s="11">
        <f>IF(54&lt;=$B$7,$B$6,"")</f>
        <v/>
      </c>
      <c r="C63" s="11">
        <f>IF(54&lt;=$B$7,E62*$B$5/100/12,"")</f>
        <v/>
      </c>
      <c r="D63" s="11">
        <f>IF(54&lt;=$B$7,$B$6-C63,"")</f>
        <v/>
      </c>
      <c r="E63" s="11">
        <f>IF(54&lt;=$B$7,E62-D63,"")</f>
        <v/>
      </c>
    </row>
    <row r="64">
      <c r="A64" s="10">
        <f>IF(55&lt;=$B$7,55,"")</f>
        <v/>
      </c>
      <c r="B64" s="11">
        <f>IF(55&lt;=$B$7,$B$6,"")</f>
        <v/>
      </c>
      <c r="C64" s="11">
        <f>IF(55&lt;=$B$7,E63*$B$5/100/12,"")</f>
        <v/>
      </c>
      <c r="D64" s="11">
        <f>IF(55&lt;=$B$7,$B$6-C64,"")</f>
        <v/>
      </c>
      <c r="E64" s="11">
        <f>IF(55&lt;=$B$7,E63-D64,"")</f>
        <v/>
      </c>
    </row>
    <row r="65">
      <c r="A65" s="10">
        <f>IF(56&lt;=$B$7,56,"")</f>
        <v/>
      </c>
      <c r="B65" s="11">
        <f>IF(56&lt;=$B$7,$B$6,"")</f>
        <v/>
      </c>
      <c r="C65" s="11">
        <f>IF(56&lt;=$B$7,E64*$B$5/100/12,"")</f>
        <v/>
      </c>
      <c r="D65" s="11">
        <f>IF(56&lt;=$B$7,$B$6-C65,"")</f>
        <v/>
      </c>
      <c r="E65" s="11">
        <f>IF(56&lt;=$B$7,E64-D65,"")</f>
        <v/>
      </c>
    </row>
    <row r="66">
      <c r="A66" s="10">
        <f>IF(57&lt;=$B$7,57,"")</f>
        <v/>
      </c>
      <c r="B66" s="11">
        <f>IF(57&lt;=$B$7,$B$6,"")</f>
        <v/>
      </c>
      <c r="C66" s="11">
        <f>IF(57&lt;=$B$7,E65*$B$5/100/12,"")</f>
        <v/>
      </c>
      <c r="D66" s="11">
        <f>IF(57&lt;=$B$7,$B$6-C66,"")</f>
        <v/>
      </c>
      <c r="E66" s="11">
        <f>IF(57&lt;=$B$7,E65-D66,"")</f>
        <v/>
      </c>
    </row>
    <row r="67">
      <c r="A67" s="10">
        <f>IF(58&lt;=$B$7,58,"")</f>
        <v/>
      </c>
      <c r="B67" s="11">
        <f>IF(58&lt;=$B$7,$B$6,"")</f>
        <v/>
      </c>
      <c r="C67" s="11">
        <f>IF(58&lt;=$B$7,E66*$B$5/100/12,"")</f>
        <v/>
      </c>
      <c r="D67" s="11">
        <f>IF(58&lt;=$B$7,$B$6-C67,"")</f>
        <v/>
      </c>
      <c r="E67" s="11">
        <f>IF(58&lt;=$B$7,E66-D67,"")</f>
        <v/>
      </c>
    </row>
    <row r="68">
      <c r="A68" s="10">
        <f>IF(59&lt;=$B$7,59,"")</f>
        <v/>
      </c>
      <c r="B68" s="11">
        <f>IF(59&lt;=$B$7,$B$6,"")</f>
        <v/>
      </c>
      <c r="C68" s="11">
        <f>IF(59&lt;=$B$7,E67*$B$5/100/12,"")</f>
        <v/>
      </c>
      <c r="D68" s="11">
        <f>IF(59&lt;=$B$7,$B$6-C68,"")</f>
        <v/>
      </c>
      <c r="E68" s="11">
        <f>IF(59&lt;=$B$7,E67-D68,"")</f>
        <v/>
      </c>
    </row>
    <row r="69">
      <c r="A69" s="10">
        <f>IF(60&lt;=$B$7,60,"")</f>
        <v/>
      </c>
      <c r="B69" s="11">
        <f>IF(60&lt;=$B$7,$B$6,"")</f>
        <v/>
      </c>
      <c r="C69" s="11">
        <f>IF(60&lt;=$B$7,E68*$B$5/100/12,"")</f>
        <v/>
      </c>
      <c r="D69" s="11">
        <f>IF(60&lt;=$B$7,$B$6-C69,"")</f>
        <v/>
      </c>
      <c r="E69" s="11">
        <f>IF(60&lt;=$B$7,E68-D69,"")</f>
        <v/>
      </c>
    </row>
    <row r="70">
      <c r="A70" s="10">
        <f>IF(61&lt;=$B$7,61,"")</f>
        <v/>
      </c>
      <c r="B70" s="11">
        <f>IF(61&lt;=$B$7,$B$6,"")</f>
        <v/>
      </c>
      <c r="C70" s="11">
        <f>IF(61&lt;=$B$7,E69*$B$5/100/12,"")</f>
        <v/>
      </c>
      <c r="D70" s="11">
        <f>IF(61&lt;=$B$7,$B$6-C70,"")</f>
        <v/>
      </c>
      <c r="E70" s="11">
        <f>IF(61&lt;=$B$7,E69-D70,"")</f>
        <v/>
      </c>
    </row>
    <row r="71">
      <c r="A71" s="10">
        <f>IF(62&lt;=$B$7,62,"")</f>
        <v/>
      </c>
      <c r="B71" s="11">
        <f>IF(62&lt;=$B$7,$B$6,"")</f>
        <v/>
      </c>
      <c r="C71" s="11">
        <f>IF(62&lt;=$B$7,E70*$B$5/100/12,"")</f>
        <v/>
      </c>
      <c r="D71" s="11">
        <f>IF(62&lt;=$B$7,$B$6-C71,"")</f>
        <v/>
      </c>
      <c r="E71" s="11">
        <f>IF(62&lt;=$B$7,E70-D71,"")</f>
        <v/>
      </c>
    </row>
    <row r="72">
      <c r="A72" s="10">
        <f>IF(63&lt;=$B$7,63,"")</f>
        <v/>
      </c>
      <c r="B72" s="11">
        <f>IF(63&lt;=$B$7,$B$6,"")</f>
        <v/>
      </c>
      <c r="C72" s="11">
        <f>IF(63&lt;=$B$7,E71*$B$5/100/12,"")</f>
        <v/>
      </c>
      <c r="D72" s="11">
        <f>IF(63&lt;=$B$7,$B$6-C72,"")</f>
        <v/>
      </c>
      <c r="E72" s="11">
        <f>IF(63&lt;=$B$7,E71-D72,"")</f>
        <v/>
      </c>
    </row>
    <row r="73">
      <c r="A73" s="10">
        <f>IF(64&lt;=$B$7,64,"")</f>
        <v/>
      </c>
      <c r="B73" s="11">
        <f>IF(64&lt;=$B$7,$B$6,"")</f>
        <v/>
      </c>
      <c r="C73" s="11">
        <f>IF(64&lt;=$B$7,E72*$B$5/100/12,"")</f>
        <v/>
      </c>
      <c r="D73" s="11">
        <f>IF(64&lt;=$B$7,$B$6-C73,"")</f>
        <v/>
      </c>
      <c r="E73" s="11">
        <f>IF(64&lt;=$B$7,E72-D73,"")</f>
        <v/>
      </c>
    </row>
    <row r="74">
      <c r="A74" s="10">
        <f>IF(65&lt;=$B$7,65,"")</f>
        <v/>
      </c>
      <c r="B74" s="11">
        <f>IF(65&lt;=$B$7,$B$6,"")</f>
        <v/>
      </c>
      <c r="C74" s="11">
        <f>IF(65&lt;=$B$7,E73*$B$5/100/12,"")</f>
        <v/>
      </c>
      <c r="D74" s="11">
        <f>IF(65&lt;=$B$7,$B$6-C74,"")</f>
        <v/>
      </c>
      <c r="E74" s="11">
        <f>IF(65&lt;=$B$7,E73-D74,"")</f>
        <v/>
      </c>
    </row>
    <row r="75">
      <c r="A75" s="10">
        <f>IF(66&lt;=$B$7,66,"")</f>
        <v/>
      </c>
      <c r="B75" s="11">
        <f>IF(66&lt;=$B$7,$B$6,"")</f>
        <v/>
      </c>
      <c r="C75" s="11">
        <f>IF(66&lt;=$B$7,E74*$B$5/100/12,"")</f>
        <v/>
      </c>
      <c r="D75" s="11">
        <f>IF(66&lt;=$B$7,$B$6-C75,"")</f>
        <v/>
      </c>
      <c r="E75" s="11">
        <f>IF(66&lt;=$B$7,E74-D75,"")</f>
        <v/>
      </c>
    </row>
    <row r="76">
      <c r="A76" s="10">
        <f>IF(67&lt;=$B$7,67,"")</f>
        <v/>
      </c>
      <c r="B76" s="11">
        <f>IF(67&lt;=$B$7,$B$6,"")</f>
        <v/>
      </c>
      <c r="C76" s="11">
        <f>IF(67&lt;=$B$7,E75*$B$5/100/12,"")</f>
        <v/>
      </c>
      <c r="D76" s="11">
        <f>IF(67&lt;=$B$7,$B$6-C76,"")</f>
        <v/>
      </c>
      <c r="E76" s="11">
        <f>IF(67&lt;=$B$7,E75-D76,"")</f>
        <v/>
      </c>
    </row>
    <row r="77">
      <c r="A77" s="10">
        <f>IF(68&lt;=$B$7,68,"")</f>
        <v/>
      </c>
      <c r="B77" s="11">
        <f>IF(68&lt;=$B$7,$B$6,"")</f>
        <v/>
      </c>
      <c r="C77" s="11">
        <f>IF(68&lt;=$B$7,E76*$B$5/100/12,"")</f>
        <v/>
      </c>
      <c r="D77" s="11">
        <f>IF(68&lt;=$B$7,$B$6-C77,"")</f>
        <v/>
      </c>
      <c r="E77" s="11">
        <f>IF(68&lt;=$B$7,E76-D77,"")</f>
        <v/>
      </c>
    </row>
    <row r="78">
      <c r="A78" s="10">
        <f>IF(69&lt;=$B$7,69,"")</f>
        <v/>
      </c>
      <c r="B78" s="11">
        <f>IF(69&lt;=$B$7,$B$6,"")</f>
        <v/>
      </c>
      <c r="C78" s="11">
        <f>IF(69&lt;=$B$7,E77*$B$5/100/12,"")</f>
        <v/>
      </c>
      <c r="D78" s="11">
        <f>IF(69&lt;=$B$7,$B$6-C78,"")</f>
        <v/>
      </c>
      <c r="E78" s="11">
        <f>IF(69&lt;=$B$7,E77-D78,"")</f>
        <v/>
      </c>
    </row>
    <row r="79">
      <c r="A79" s="10">
        <f>IF(70&lt;=$B$7,70,"")</f>
        <v/>
      </c>
      <c r="B79" s="11">
        <f>IF(70&lt;=$B$7,$B$6,"")</f>
        <v/>
      </c>
      <c r="C79" s="11">
        <f>IF(70&lt;=$B$7,E78*$B$5/100/12,"")</f>
        <v/>
      </c>
      <c r="D79" s="11">
        <f>IF(70&lt;=$B$7,$B$6-C79,"")</f>
        <v/>
      </c>
      <c r="E79" s="11">
        <f>IF(70&lt;=$B$7,E78-D79,"")</f>
        <v/>
      </c>
    </row>
    <row r="80">
      <c r="A80" s="10">
        <f>IF(71&lt;=$B$7,71,"")</f>
        <v/>
      </c>
      <c r="B80" s="11">
        <f>IF(71&lt;=$B$7,$B$6,"")</f>
        <v/>
      </c>
      <c r="C80" s="11">
        <f>IF(71&lt;=$B$7,E79*$B$5/100/12,"")</f>
        <v/>
      </c>
      <c r="D80" s="11">
        <f>IF(71&lt;=$B$7,$B$6-C80,"")</f>
        <v/>
      </c>
      <c r="E80" s="11">
        <f>IF(71&lt;=$B$7,E79-D80,"")</f>
        <v/>
      </c>
    </row>
    <row r="81">
      <c r="A81" s="10">
        <f>IF(72&lt;=$B$7,72,"")</f>
        <v/>
      </c>
      <c r="B81" s="11">
        <f>IF(72&lt;=$B$7,$B$6,"")</f>
        <v/>
      </c>
      <c r="C81" s="11">
        <f>IF(72&lt;=$B$7,E80*$B$5/100/12,"")</f>
        <v/>
      </c>
      <c r="D81" s="11">
        <f>IF(72&lt;=$B$7,$B$6-C81,"")</f>
        <v/>
      </c>
      <c r="E81" s="11">
        <f>IF(72&lt;=$B$7,E80-D81,"")</f>
        <v/>
      </c>
    </row>
    <row r="82">
      <c r="A82" s="10">
        <f>IF(73&lt;=$B$7,73,"")</f>
        <v/>
      </c>
      <c r="B82" s="11">
        <f>IF(73&lt;=$B$7,$B$6,"")</f>
        <v/>
      </c>
      <c r="C82" s="11">
        <f>IF(73&lt;=$B$7,E81*$B$5/100/12,"")</f>
        <v/>
      </c>
      <c r="D82" s="11">
        <f>IF(73&lt;=$B$7,$B$6-C82,"")</f>
        <v/>
      </c>
      <c r="E82" s="11">
        <f>IF(73&lt;=$B$7,E81-D82,"")</f>
        <v/>
      </c>
    </row>
    <row r="83">
      <c r="A83" s="10">
        <f>IF(74&lt;=$B$7,74,"")</f>
        <v/>
      </c>
      <c r="B83" s="11">
        <f>IF(74&lt;=$B$7,$B$6,"")</f>
        <v/>
      </c>
      <c r="C83" s="11">
        <f>IF(74&lt;=$B$7,E82*$B$5/100/12,"")</f>
        <v/>
      </c>
      <c r="D83" s="11">
        <f>IF(74&lt;=$B$7,$B$6-C83,"")</f>
        <v/>
      </c>
      <c r="E83" s="11">
        <f>IF(74&lt;=$B$7,E82-D83,"")</f>
        <v/>
      </c>
    </row>
    <row r="84">
      <c r="A84" s="10">
        <f>IF(75&lt;=$B$7,75,"")</f>
        <v/>
      </c>
      <c r="B84" s="11">
        <f>IF(75&lt;=$B$7,$B$6,"")</f>
        <v/>
      </c>
      <c r="C84" s="11">
        <f>IF(75&lt;=$B$7,E83*$B$5/100/12,"")</f>
        <v/>
      </c>
      <c r="D84" s="11">
        <f>IF(75&lt;=$B$7,$B$6-C84,"")</f>
        <v/>
      </c>
      <c r="E84" s="11">
        <f>IF(75&lt;=$B$7,E83-D84,"")</f>
        <v/>
      </c>
    </row>
    <row r="85">
      <c r="A85" s="10">
        <f>IF(76&lt;=$B$7,76,"")</f>
        <v/>
      </c>
      <c r="B85" s="11">
        <f>IF(76&lt;=$B$7,$B$6,"")</f>
        <v/>
      </c>
      <c r="C85" s="11">
        <f>IF(76&lt;=$B$7,E84*$B$5/100/12,"")</f>
        <v/>
      </c>
      <c r="D85" s="11">
        <f>IF(76&lt;=$B$7,$B$6-C85,"")</f>
        <v/>
      </c>
      <c r="E85" s="11">
        <f>IF(76&lt;=$B$7,E84-D85,"")</f>
        <v/>
      </c>
    </row>
    <row r="86">
      <c r="A86" s="10">
        <f>IF(77&lt;=$B$7,77,"")</f>
        <v/>
      </c>
      <c r="B86" s="11">
        <f>IF(77&lt;=$B$7,$B$6,"")</f>
        <v/>
      </c>
      <c r="C86" s="11">
        <f>IF(77&lt;=$B$7,E85*$B$5/100/12,"")</f>
        <v/>
      </c>
      <c r="D86" s="11">
        <f>IF(77&lt;=$B$7,$B$6-C86,"")</f>
        <v/>
      </c>
      <c r="E86" s="11">
        <f>IF(77&lt;=$B$7,E85-D86,"")</f>
        <v/>
      </c>
    </row>
    <row r="87">
      <c r="A87" s="10">
        <f>IF(78&lt;=$B$7,78,"")</f>
        <v/>
      </c>
      <c r="B87" s="11">
        <f>IF(78&lt;=$B$7,$B$6,"")</f>
        <v/>
      </c>
      <c r="C87" s="11">
        <f>IF(78&lt;=$B$7,E86*$B$5/100/12,"")</f>
        <v/>
      </c>
      <c r="D87" s="11">
        <f>IF(78&lt;=$B$7,$B$6-C87,"")</f>
        <v/>
      </c>
      <c r="E87" s="11">
        <f>IF(78&lt;=$B$7,E86-D87,"")</f>
        <v/>
      </c>
    </row>
    <row r="88">
      <c r="A88" s="10">
        <f>IF(79&lt;=$B$7,79,"")</f>
        <v/>
      </c>
      <c r="B88" s="11">
        <f>IF(79&lt;=$B$7,$B$6,"")</f>
        <v/>
      </c>
      <c r="C88" s="11">
        <f>IF(79&lt;=$B$7,E87*$B$5/100/12,"")</f>
        <v/>
      </c>
      <c r="D88" s="11">
        <f>IF(79&lt;=$B$7,$B$6-C88,"")</f>
        <v/>
      </c>
      <c r="E88" s="11">
        <f>IF(79&lt;=$B$7,E87-D88,"")</f>
        <v/>
      </c>
    </row>
    <row r="89">
      <c r="A89" s="10">
        <f>IF(80&lt;=$B$7,80,"")</f>
        <v/>
      </c>
      <c r="B89" s="11">
        <f>IF(80&lt;=$B$7,$B$6,"")</f>
        <v/>
      </c>
      <c r="C89" s="11">
        <f>IF(80&lt;=$B$7,E88*$B$5/100/12,"")</f>
        <v/>
      </c>
      <c r="D89" s="11">
        <f>IF(80&lt;=$B$7,$B$6-C89,"")</f>
        <v/>
      </c>
      <c r="E89" s="11">
        <f>IF(80&lt;=$B$7,E88-D89,"")</f>
        <v/>
      </c>
    </row>
    <row r="90">
      <c r="A90" s="10">
        <f>IF(81&lt;=$B$7,81,"")</f>
        <v/>
      </c>
      <c r="B90" s="11">
        <f>IF(81&lt;=$B$7,$B$6,"")</f>
        <v/>
      </c>
      <c r="C90" s="11">
        <f>IF(81&lt;=$B$7,E89*$B$5/100/12,"")</f>
        <v/>
      </c>
      <c r="D90" s="11">
        <f>IF(81&lt;=$B$7,$B$6-C90,"")</f>
        <v/>
      </c>
      <c r="E90" s="11">
        <f>IF(81&lt;=$B$7,E89-D90,"")</f>
        <v/>
      </c>
    </row>
    <row r="91">
      <c r="A91" s="10">
        <f>IF(82&lt;=$B$7,82,"")</f>
        <v/>
      </c>
      <c r="B91" s="11">
        <f>IF(82&lt;=$B$7,$B$6,"")</f>
        <v/>
      </c>
      <c r="C91" s="11">
        <f>IF(82&lt;=$B$7,E90*$B$5/100/12,"")</f>
        <v/>
      </c>
      <c r="D91" s="11">
        <f>IF(82&lt;=$B$7,$B$6-C91,"")</f>
        <v/>
      </c>
      <c r="E91" s="11">
        <f>IF(82&lt;=$B$7,E90-D91,"")</f>
        <v/>
      </c>
    </row>
    <row r="92">
      <c r="A92" s="10">
        <f>IF(83&lt;=$B$7,83,"")</f>
        <v/>
      </c>
      <c r="B92" s="11">
        <f>IF(83&lt;=$B$7,$B$6,"")</f>
        <v/>
      </c>
      <c r="C92" s="11">
        <f>IF(83&lt;=$B$7,E91*$B$5/100/12,"")</f>
        <v/>
      </c>
      <c r="D92" s="11">
        <f>IF(83&lt;=$B$7,$B$6-C92,"")</f>
        <v/>
      </c>
      <c r="E92" s="11">
        <f>IF(83&lt;=$B$7,E91-D92,"")</f>
        <v/>
      </c>
    </row>
    <row r="93">
      <c r="A93" s="10">
        <f>IF(84&lt;=$B$7,84,"")</f>
        <v/>
      </c>
      <c r="B93" s="11">
        <f>IF(84&lt;=$B$7,$B$6,"")</f>
        <v/>
      </c>
      <c r="C93" s="11">
        <f>IF(84&lt;=$B$7,E92*$B$5/100/12,"")</f>
        <v/>
      </c>
      <c r="D93" s="11">
        <f>IF(84&lt;=$B$7,$B$6-C93,"")</f>
        <v/>
      </c>
      <c r="E93" s="11">
        <f>IF(84&lt;=$B$7,E92-D93,"")</f>
        <v/>
      </c>
    </row>
    <row r="94">
      <c r="A94" s="10">
        <f>IF(85&lt;=$B$7,85,"")</f>
        <v/>
      </c>
      <c r="B94" s="11">
        <f>IF(85&lt;=$B$7,$B$6,"")</f>
        <v/>
      </c>
      <c r="C94" s="11">
        <f>IF(85&lt;=$B$7,E93*$B$5/100/12,"")</f>
        <v/>
      </c>
      <c r="D94" s="11">
        <f>IF(85&lt;=$B$7,$B$6-C94,"")</f>
        <v/>
      </c>
      <c r="E94" s="11">
        <f>IF(85&lt;=$B$7,E93-D94,"")</f>
        <v/>
      </c>
    </row>
    <row r="95">
      <c r="A95" s="10">
        <f>IF(86&lt;=$B$7,86,"")</f>
        <v/>
      </c>
      <c r="B95" s="11">
        <f>IF(86&lt;=$B$7,$B$6,"")</f>
        <v/>
      </c>
      <c r="C95" s="11">
        <f>IF(86&lt;=$B$7,E94*$B$5/100/12,"")</f>
        <v/>
      </c>
      <c r="D95" s="11">
        <f>IF(86&lt;=$B$7,$B$6-C95,"")</f>
        <v/>
      </c>
      <c r="E95" s="11">
        <f>IF(86&lt;=$B$7,E94-D95,"")</f>
        <v/>
      </c>
    </row>
    <row r="96">
      <c r="A96" s="10">
        <f>IF(87&lt;=$B$7,87,"")</f>
        <v/>
      </c>
      <c r="B96" s="11">
        <f>IF(87&lt;=$B$7,$B$6,"")</f>
        <v/>
      </c>
      <c r="C96" s="11">
        <f>IF(87&lt;=$B$7,E95*$B$5/100/12,"")</f>
        <v/>
      </c>
      <c r="D96" s="11">
        <f>IF(87&lt;=$B$7,$B$6-C96,"")</f>
        <v/>
      </c>
      <c r="E96" s="11">
        <f>IF(87&lt;=$B$7,E95-D96,"")</f>
        <v/>
      </c>
    </row>
    <row r="97">
      <c r="A97" s="10">
        <f>IF(88&lt;=$B$7,88,"")</f>
        <v/>
      </c>
      <c r="B97" s="11">
        <f>IF(88&lt;=$B$7,$B$6,"")</f>
        <v/>
      </c>
      <c r="C97" s="11">
        <f>IF(88&lt;=$B$7,E96*$B$5/100/12,"")</f>
        <v/>
      </c>
      <c r="D97" s="11">
        <f>IF(88&lt;=$B$7,$B$6-C97,"")</f>
        <v/>
      </c>
      <c r="E97" s="11">
        <f>IF(88&lt;=$B$7,E96-D97,"")</f>
        <v/>
      </c>
    </row>
    <row r="98">
      <c r="A98" s="10">
        <f>IF(89&lt;=$B$7,89,"")</f>
        <v/>
      </c>
      <c r="B98" s="11">
        <f>IF(89&lt;=$B$7,$B$6,"")</f>
        <v/>
      </c>
      <c r="C98" s="11">
        <f>IF(89&lt;=$B$7,E97*$B$5/100/12,"")</f>
        <v/>
      </c>
      <c r="D98" s="11">
        <f>IF(89&lt;=$B$7,$B$6-C98,"")</f>
        <v/>
      </c>
      <c r="E98" s="11">
        <f>IF(89&lt;=$B$7,E97-D98,"")</f>
        <v/>
      </c>
    </row>
    <row r="99">
      <c r="A99" s="10">
        <f>IF(90&lt;=$B$7,90,"")</f>
        <v/>
      </c>
      <c r="B99" s="11">
        <f>IF(90&lt;=$B$7,$B$6,"")</f>
        <v/>
      </c>
      <c r="C99" s="11">
        <f>IF(90&lt;=$B$7,E98*$B$5/100/12,"")</f>
        <v/>
      </c>
      <c r="D99" s="11">
        <f>IF(90&lt;=$B$7,$B$6-C99,"")</f>
        <v/>
      </c>
      <c r="E99" s="11">
        <f>IF(90&lt;=$B$7,E98-D99,"")</f>
        <v/>
      </c>
    </row>
    <row r="100">
      <c r="A100" s="10">
        <f>IF(91&lt;=$B$7,91,"")</f>
        <v/>
      </c>
      <c r="B100" s="11">
        <f>IF(91&lt;=$B$7,$B$6,"")</f>
        <v/>
      </c>
      <c r="C100" s="11">
        <f>IF(91&lt;=$B$7,E99*$B$5/100/12,"")</f>
        <v/>
      </c>
      <c r="D100" s="11">
        <f>IF(91&lt;=$B$7,$B$6-C100,"")</f>
        <v/>
      </c>
      <c r="E100" s="11">
        <f>IF(91&lt;=$B$7,E99-D100,"")</f>
        <v/>
      </c>
    </row>
    <row r="101">
      <c r="A101" s="10">
        <f>IF(92&lt;=$B$7,92,"")</f>
        <v/>
      </c>
      <c r="B101" s="11">
        <f>IF(92&lt;=$B$7,$B$6,"")</f>
        <v/>
      </c>
      <c r="C101" s="11">
        <f>IF(92&lt;=$B$7,E100*$B$5/100/12,"")</f>
        <v/>
      </c>
      <c r="D101" s="11">
        <f>IF(92&lt;=$B$7,$B$6-C101,"")</f>
        <v/>
      </c>
      <c r="E101" s="11">
        <f>IF(92&lt;=$B$7,E100-D101,"")</f>
        <v/>
      </c>
    </row>
    <row r="102">
      <c r="A102" s="10">
        <f>IF(93&lt;=$B$7,93,"")</f>
        <v/>
      </c>
      <c r="B102" s="11">
        <f>IF(93&lt;=$B$7,$B$6,"")</f>
        <v/>
      </c>
      <c r="C102" s="11">
        <f>IF(93&lt;=$B$7,E101*$B$5/100/12,"")</f>
        <v/>
      </c>
      <c r="D102" s="11">
        <f>IF(93&lt;=$B$7,$B$6-C102,"")</f>
        <v/>
      </c>
      <c r="E102" s="11">
        <f>IF(93&lt;=$B$7,E101-D102,"")</f>
        <v/>
      </c>
    </row>
    <row r="103">
      <c r="A103" s="10">
        <f>IF(94&lt;=$B$7,94,"")</f>
        <v/>
      </c>
      <c r="B103" s="11">
        <f>IF(94&lt;=$B$7,$B$6,"")</f>
        <v/>
      </c>
      <c r="C103" s="11">
        <f>IF(94&lt;=$B$7,E102*$B$5/100/12,"")</f>
        <v/>
      </c>
      <c r="D103" s="11">
        <f>IF(94&lt;=$B$7,$B$6-C103,"")</f>
        <v/>
      </c>
      <c r="E103" s="11">
        <f>IF(94&lt;=$B$7,E102-D103,"")</f>
        <v/>
      </c>
    </row>
    <row r="104">
      <c r="A104" s="10">
        <f>IF(95&lt;=$B$7,95,"")</f>
        <v/>
      </c>
      <c r="B104" s="11">
        <f>IF(95&lt;=$B$7,$B$6,"")</f>
        <v/>
      </c>
      <c r="C104" s="11">
        <f>IF(95&lt;=$B$7,E103*$B$5/100/12,"")</f>
        <v/>
      </c>
      <c r="D104" s="11">
        <f>IF(95&lt;=$B$7,$B$6-C104,"")</f>
        <v/>
      </c>
      <c r="E104" s="11">
        <f>IF(95&lt;=$B$7,E103-D104,"")</f>
        <v/>
      </c>
    </row>
    <row r="105">
      <c r="A105" s="10">
        <f>IF(96&lt;=$B$7,96,"")</f>
        <v/>
      </c>
      <c r="B105" s="11">
        <f>IF(96&lt;=$B$7,$B$6,"")</f>
        <v/>
      </c>
      <c r="C105" s="11">
        <f>IF(96&lt;=$B$7,E104*$B$5/100/12,"")</f>
        <v/>
      </c>
      <c r="D105" s="11">
        <f>IF(96&lt;=$B$7,$B$6-C105,"")</f>
        <v/>
      </c>
      <c r="E105" s="11">
        <f>IF(96&lt;=$B$7,E104-D105,"")</f>
        <v/>
      </c>
    </row>
    <row r="106">
      <c r="A106" s="10">
        <f>IF(97&lt;=$B$7,97,"")</f>
        <v/>
      </c>
      <c r="B106" s="11">
        <f>IF(97&lt;=$B$7,$B$6,"")</f>
        <v/>
      </c>
      <c r="C106" s="11">
        <f>IF(97&lt;=$B$7,E105*$B$5/100/12,"")</f>
        <v/>
      </c>
      <c r="D106" s="11">
        <f>IF(97&lt;=$B$7,$B$6-C106,"")</f>
        <v/>
      </c>
      <c r="E106" s="11">
        <f>IF(97&lt;=$B$7,E105-D106,"")</f>
        <v/>
      </c>
    </row>
    <row r="107">
      <c r="A107" s="10">
        <f>IF(98&lt;=$B$7,98,"")</f>
        <v/>
      </c>
      <c r="B107" s="11">
        <f>IF(98&lt;=$B$7,$B$6,"")</f>
        <v/>
      </c>
      <c r="C107" s="11">
        <f>IF(98&lt;=$B$7,E106*$B$5/100/12,"")</f>
        <v/>
      </c>
      <c r="D107" s="11">
        <f>IF(98&lt;=$B$7,$B$6-C107,"")</f>
        <v/>
      </c>
      <c r="E107" s="11">
        <f>IF(98&lt;=$B$7,E106-D107,"")</f>
        <v/>
      </c>
    </row>
    <row r="108">
      <c r="A108" s="10">
        <f>IF(99&lt;=$B$7,99,"")</f>
        <v/>
      </c>
      <c r="B108" s="11">
        <f>IF(99&lt;=$B$7,$B$6,"")</f>
        <v/>
      </c>
      <c r="C108" s="11">
        <f>IF(99&lt;=$B$7,E107*$B$5/100/12,"")</f>
        <v/>
      </c>
      <c r="D108" s="11">
        <f>IF(99&lt;=$B$7,$B$6-C108,"")</f>
        <v/>
      </c>
      <c r="E108" s="11">
        <f>IF(99&lt;=$B$7,E107-D108,"")</f>
        <v/>
      </c>
    </row>
    <row r="109">
      <c r="A109" s="10">
        <f>IF(100&lt;=$B$7,100,"")</f>
        <v/>
      </c>
      <c r="B109" s="11">
        <f>IF(100&lt;=$B$7,$B$6,"")</f>
        <v/>
      </c>
      <c r="C109" s="11">
        <f>IF(100&lt;=$B$7,E108*$B$5/100/12,"")</f>
        <v/>
      </c>
      <c r="D109" s="11">
        <f>IF(100&lt;=$B$7,$B$6-C109,"")</f>
        <v/>
      </c>
      <c r="E109" s="11">
        <f>IF(100&lt;=$B$7,E108-D109,"")</f>
        <v/>
      </c>
    </row>
    <row r="110">
      <c r="A110" s="10">
        <f>IF(101&lt;=$B$7,101,"")</f>
        <v/>
      </c>
      <c r="B110" s="11">
        <f>IF(101&lt;=$B$7,$B$6,"")</f>
        <v/>
      </c>
      <c r="C110" s="11">
        <f>IF(101&lt;=$B$7,E109*$B$5/100/12,"")</f>
        <v/>
      </c>
      <c r="D110" s="11">
        <f>IF(101&lt;=$B$7,$B$6-C110,"")</f>
        <v/>
      </c>
      <c r="E110" s="11">
        <f>IF(101&lt;=$B$7,E109-D110,"")</f>
        <v/>
      </c>
    </row>
    <row r="111">
      <c r="A111" s="10">
        <f>IF(102&lt;=$B$7,102,"")</f>
        <v/>
      </c>
      <c r="B111" s="11">
        <f>IF(102&lt;=$B$7,$B$6,"")</f>
        <v/>
      </c>
      <c r="C111" s="11">
        <f>IF(102&lt;=$B$7,E110*$B$5/100/12,"")</f>
        <v/>
      </c>
      <c r="D111" s="11">
        <f>IF(102&lt;=$B$7,$B$6-C111,"")</f>
        <v/>
      </c>
      <c r="E111" s="11">
        <f>IF(102&lt;=$B$7,E110-D111,"")</f>
        <v/>
      </c>
    </row>
    <row r="112">
      <c r="A112" s="10">
        <f>IF(103&lt;=$B$7,103,"")</f>
        <v/>
      </c>
      <c r="B112" s="11">
        <f>IF(103&lt;=$B$7,$B$6,"")</f>
        <v/>
      </c>
      <c r="C112" s="11">
        <f>IF(103&lt;=$B$7,E111*$B$5/100/12,"")</f>
        <v/>
      </c>
      <c r="D112" s="11">
        <f>IF(103&lt;=$B$7,$B$6-C112,"")</f>
        <v/>
      </c>
      <c r="E112" s="11">
        <f>IF(103&lt;=$B$7,E111-D112,"")</f>
        <v/>
      </c>
    </row>
    <row r="113">
      <c r="A113" s="10">
        <f>IF(104&lt;=$B$7,104,"")</f>
        <v/>
      </c>
      <c r="B113" s="11">
        <f>IF(104&lt;=$B$7,$B$6,"")</f>
        <v/>
      </c>
      <c r="C113" s="11">
        <f>IF(104&lt;=$B$7,E112*$B$5/100/12,"")</f>
        <v/>
      </c>
      <c r="D113" s="11">
        <f>IF(104&lt;=$B$7,$B$6-C113,"")</f>
        <v/>
      </c>
      <c r="E113" s="11">
        <f>IF(104&lt;=$B$7,E112-D113,"")</f>
        <v/>
      </c>
    </row>
    <row r="114">
      <c r="A114" s="10">
        <f>IF(105&lt;=$B$7,105,"")</f>
        <v/>
      </c>
      <c r="B114" s="11">
        <f>IF(105&lt;=$B$7,$B$6,"")</f>
        <v/>
      </c>
      <c r="C114" s="11">
        <f>IF(105&lt;=$B$7,E113*$B$5/100/12,"")</f>
        <v/>
      </c>
      <c r="D114" s="11">
        <f>IF(105&lt;=$B$7,$B$6-C114,"")</f>
        <v/>
      </c>
      <c r="E114" s="11">
        <f>IF(105&lt;=$B$7,E113-D114,"")</f>
        <v/>
      </c>
    </row>
    <row r="115">
      <c r="A115" s="10">
        <f>IF(106&lt;=$B$7,106,"")</f>
        <v/>
      </c>
      <c r="B115" s="11">
        <f>IF(106&lt;=$B$7,$B$6,"")</f>
        <v/>
      </c>
      <c r="C115" s="11">
        <f>IF(106&lt;=$B$7,E114*$B$5/100/12,"")</f>
        <v/>
      </c>
      <c r="D115" s="11">
        <f>IF(106&lt;=$B$7,$B$6-C115,"")</f>
        <v/>
      </c>
      <c r="E115" s="11">
        <f>IF(106&lt;=$B$7,E114-D115,"")</f>
        <v/>
      </c>
    </row>
    <row r="116">
      <c r="A116" s="10">
        <f>IF(107&lt;=$B$7,107,"")</f>
        <v/>
      </c>
      <c r="B116" s="11">
        <f>IF(107&lt;=$B$7,$B$6,"")</f>
        <v/>
      </c>
      <c r="C116" s="11">
        <f>IF(107&lt;=$B$7,E115*$B$5/100/12,"")</f>
        <v/>
      </c>
      <c r="D116" s="11">
        <f>IF(107&lt;=$B$7,$B$6-C116,"")</f>
        <v/>
      </c>
      <c r="E116" s="11">
        <f>IF(107&lt;=$B$7,E115-D116,"")</f>
        <v/>
      </c>
    </row>
    <row r="117">
      <c r="A117" s="10">
        <f>IF(108&lt;=$B$7,108,"")</f>
        <v/>
      </c>
      <c r="B117" s="11">
        <f>IF(108&lt;=$B$7,$B$6,"")</f>
        <v/>
      </c>
      <c r="C117" s="11">
        <f>IF(108&lt;=$B$7,E116*$B$5/100/12,"")</f>
        <v/>
      </c>
      <c r="D117" s="11">
        <f>IF(108&lt;=$B$7,$B$6-C117,"")</f>
        <v/>
      </c>
      <c r="E117" s="11">
        <f>IF(108&lt;=$B$7,E116-D117,"")</f>
        <v/>
      </c>
    </row>
    <row r="118">
      <c r="A118" s="10">
        <f>IF(109&lt;=$B$7,109,"")</f>
        <v/>
      </c>
      <c r="B118" s="11">
        <f>IF(109&lt;=$B$7,$B$6,"")</f>
        <v/>
      </c>
      <c r="C118" s="11">
        <f>IF(109&lt;=$B$7,E117*$B$5/100/12,"")</f>
        <v/>
      </c>
      <c r="D118" s="11">
        <f>IF(109&lt;=$B$7,$B$6-C118,"")</f>
        <v/>
      </c>
      <c r="E118" s="11">
        <f>IF(109&lt;=$B$7,E117-D118,"")</f>
        <v/>
      </c>
    </row>
    <row r="119">
      <c r="A119" s="10">
        <f>IF(110&lt;=$B$7,110,"")</f>
        <v/>
      </c>
      <c r="B119" s="11">
        <f>IF(110&lt;=$B$7,$B$6,"")</f>
        <v/>
      </c>
      <c r="C119" s="11">
        <f>IF(110&lt;=$B$7,E118*$B$5/100/12,"")</f>
        <v/>
      </c>
      <c r="D119" s="11">
        <f>IF(110&lt;=$B$7,$B$6-C119,"")</f>
        <v/>
      </c>
      <c r="E119" s="11">
        <f>IF(110&lt;=$B$7,E118-D119,"")</f>
        <v/>
      </c>
    </row>
    <row r="120">
      <c r="A120" s="10">
        <f>IF(111&lt;=$B$7,111,"")</f>
        <v/>
      </c>
      <c r="B120" s="11">
        <f>IF(111&lt;=$B$7,$B$6,"")</f>
        <v/>
      </c>
      <c r="C120" s="11">
        <f>IF(111&lt;=$B$7,E119*$B$5/100/12,"")</f>
        <v/>
      </c>
      <c r="D120" s="11">
        <f>IF(111&lt;=$B$7,$B$6-C120,"")</f>
        <v/>
      </c>
      <c r="E120" s="11">
        <f>IF(111&lt;=$B$7,E119-D120,"")</f>
        <v/>
      </c>
    </row>
    <row r="121">
      <c r="A121" s="10">
        <f>IF(112&lt;=$B$7,112,"")</f>
        <v/>
      </c>
      <c r="B121" s="11">
        <f>IF(112&lt;=$B$7,$B$6,"")</f>
        <v/>
      </c>
      <c r="C121" s="11">
        <f>IF(112&lt;=$B$7,E120*$B$5/100/12,"")</f>
        <v/>
      </c>
      <c r="D121" s="11">
        <f>IF(112&lt;=$B$7,$B$6-C121,"")</f>
        <v/>
      </c>
      <c r="E121" s="11">
        <f>IF(112&lt;=$B$7,E120-D121,"")</f>
        <v/>
      </c>
    </row>
    <row r="122">
      <c r="A122" s="10">
        <f>IF(113&lt;=$B$7,113,"")</f>
        <v/>
      </c>
      <c r="B122" s="11">
        <f>IF(113&lt;=$B$7,$B$6,"")</f>
        <v/>
      </c>
      <c r="C122" s="11">
        <f>IF(113&lt;=$B$7,E121*$B$5/100/12,"")</f>
        <v/>
      </c>
      <c r="D122" s="11">
        <f>IF(113&lt;=$B$7,$B$6-C122,"")</f>
        <v/>
      </c>
      <c r="E122" s="11">
        <f>IF(113&lt;=$B$7,E121-D122,"")</f>
        <v/>
      </c>
    </row>
    <row r="123">
      <c r="A123" s="10">
        <f>IF(114&lt;=$B$7,114,"")</f>
        <v/>
      </c>
      <c r="B123" s="11">
        <f>IF(114&lt;=$B$7,$B$6,"")</f>
        <v/>
      </c>
      <c r="C123" s="11">
        <f>IF(114&lt;=$B$7,E122*$B$5/100/12,"")</f>
        <v/>
      </c>
      <c r="D123" s="11">
        <f>IF(114&lt;=$B$7,$B$6-C123,"")</f>
        <v/>
      </c>
      <c r="E123" s="11">
        <f>IF(114&lt;=$B$7,E122-D123,"")</f>
        <v/>
      </c>
    </row>
    <row r="124">
      <c r="A124" s="10">
        <f>IF(115&lt;=$B$7,115,"")</f>
        <v/>
      </c>
      <c r="B124" s="11">
        <f>IF(115&lt;=$B$7,$B$6,"")</f>
        <v/>
      </c>
      <c r="C124" s="11">
        <f>IF(115&lt;=$B$7,E123*$B$5/100/12,"")</f>
        <v/>
      </c>
      <c r="D124" s="11">
        <f>IF(115&lt;=$B$7,$B$6-C124,"")</f>
        <v/>
      </c>
      <c r="E124" s="11">
        <f>IF(115&lt;=$B$7,E123-D124,"")</f>
        <v/>
      </c>
    </row>
    <row r="125">
      <c r="A125" s="10">
        <f>IF(116&lt;=$B$7,116,"")</f>
        <v/>
      </c>
      <c r="B125" s="11">
        <f>IF(116&lt;=$B$7,$B$6,"")</f>
        <v/>
      </c>
      <c r="C125" s="11">
        <f>IF(116&lt;=$B$7,E124*$B$5/100/12,"")</f>
        <v/>
      </c>
      <c r="D125" s="11">
        <f>IF(116&lt;=$B$7,$B$6-C125,"")</f>
        <v/>
      </c>
      <c r="E125" s="11">
        <f>IF(116&lt;=$B$7,E124-D125,"")</f>
        <v/>
      </c>
    </row>
    <row r="126">
      <c r="A126" s="10">
        <f>IF(117&lt;=$B$7,117,"")</f>
        <v/>
      </c>
      <c r="B126" s="11">
        <f>IF(117&lt;=$B$7,$B$6,"")</f>
        <v/>
      </c>
      <c r="C126" s="11">
        <f>IF(117&lt;=$B$7,E125*$B$5/100/12,"")</f>
        <v/>
      </c>
      <c r="D126" s="11">
        <f>IF(117&lt;=$B$7,$B$6-C126,"")</f>
        <v/>
      </c>
      <c r="E126" s="11">
        <f>IF(117&lt;=$B$7,E125-D126,"")</f>
        <v/>
      </c>
    </row>
    <row r="127">
      <c r="A127" s="10">
        <f>IF(118&lt;=$B$7,118,"")</f>
        <v/>
      </c>
      <c r="B127" s="11">
        <f>IF(118&lt;=$B$7,$B$6,"")</f>
        <v/>
      </c>
      <c r="C127" s="11">
        <f>IF(118&lt;=$B$7,E126*$B$5/100/12,"")</f>
        <v/>
      </c>
      <c r="D127" s="11">
        <f>IF(118&lt;=$B$7,$B$6-C127,"")</f>
        <v/>
      </c>
      <c r="E127" s="11">
        <f>IF(118&lt;=$B$7,E126-D127,"")</f>
        <v/>
      </c>
    </row>
    <row r="128">
      <c r="A128" s="10">
        <f>IF(119&lt;=$B$7,119,"")</f>
        <v/>
      </c>
      <c r="B128" s="11">
        <f>IF(119&lt;=$B$7,$B$6,"")</f>
        <v/>
      </c>
      <c r="C128" s="11">
        <f>IF(119&lt;=$B$7,E127*$B$5/100/12,"")</f>
        <v/>
      </c>
      <c r="D128" s="11">
        <f>IF(119&lt;=$B$7,$B$6-C128,"")</f>
        <v/>
      </c>
      <c r="E128" s="11">
        <f>IF(119&lt;=$B$7,E127-D128,"")</f>
        <v/>
      </c>
    </row>
    <row r="129">
      <c r="A129" s="10">
        <f>IF(120&lt;=$B$7,120,"")</f>
        <v/>
      </c>
      <c r="B129" s="11">
        <f>IF(120&lt;=$B$7,$B$6,"")</f>
        <v/>
      </c>
      <c r="C129" s="11">
        <f>IF(120&lt;=$B$7,E128*$B$5/100/12,"")</f>
        <v/>
      </c>
      <c r="D129" s="11">
        <f>IF(120&lt;=$B$7,$B$6-C129,"")</f>
        <v/>
      </c>
      <c r="E129" s="11">
        <f>IF(120&lt;=$B$7,E128-D129,"")</f>
        <v/>
      </c>
    </row>
    <row r="130">
      <c r="A130" s="10">
        <f>IF(121&lt;=$B$7,121,"")</f>
        <v/>
      </c>
      <c r="B130" s="11">
        <f>IF(121&lt;=$B$7,$B$6,"")</f>
        <v/>
      </c>
      <c r="C130" s="11">
        <f>IF(121&lt;=$B$7,E129*$B$5/100/12,"")</f>
        <v/>
      </c>
      <c r="D130" s="11">
        <f>IF(121&lt;=$B$7,$B$6-C130,"")</f>
        <v/>
      </c>
      <c r="E130" s="11">
        <f>IF(121&lt;=$B$7,E129-D130,"")</f>
        <v/>
      </c>
    </row>
    <row r="131">
      <c r="A131" s="10">
        <f>IF(122&lt;=$B$7,122,"")</f>
        <v/>
      </c>
      <c r="B131" s="11">
        <f>IF(122&lt;=$B$7,$B$6,"")</f>
        <v/>
      </c>
      <c r="C131" s="11">
        <f>IF(122&lt;=$B$7,E130*$B$5/100/12,"")</f>
        <v/>
      </c>
      <c r="D131" s="11">
        <f>IF(122&lt;=$B$7,$B$6-C131,"")</f>
        <v/>
      </c>
      <c r="E131" s="11">
        <f>IF(122&lt;=$B$7,E130-D131,"")</f>
        <v/>
      </c>
    </row>
    <row r="132">
      <c r="A132" s="10">
        <f>IF(123&lt;=$B$7,123,"")</f>
        <v/>
      </c>
      <c r="B132" s="11">
        <f>IF(123&lt;=$B$7,$B$6,"")</f>
        <v/>
      </c>
      <c r="C132" s="11">
        <f>IF(123&lt;=$B$7,E131*$B$5/100/12,"")</f>
        <v/>
      </c>
      <c r="D132" s="11">
        <f>IF(123&lt;=$B$7,$B$6-C132,"")</f>
        <v/>
      </c>
      <c r="E132" s="11">
        <f>IF(123&lt;=$B$7,E131-D132,"")</f>
        <v/>
      </c>
    </row>
    <row r="133">
      <c r="A133" s="10">
        <f>IF(124&lt;=$B$7,124,"")</f>
        <v/>
      </c>
      <c r="B133" s="11">
        <f>IF(124&lt;=$B$7,$B$6,"")</f>
        <v/>
      </c>
      <c r="C133" s="11">
        <f>IF(124&lt;=$B$7,E132*$B$5/100/12,"")</f>
        <v/>
      </c>
      <c r="D133" s="11">
        <f>IF(124&lt;=$B$7,$B$6-C133,"")</f>
        <v/>
      </c>
      <c r="E133" s="11">
        <f>IF(124&lt;=$B$7,E132-D133,"")</f>
        <v/>
      </c>
    </row>
    <row r="134">
      <c r="A134" s="10">
        <f>IF(125&lt;=$B$7,125,"")</f>
        <v/>
      </c>
      <c r="B134" s="11">
        <f>IF(125&lt;=$B$7,$B$6,"")</f>
        <v/>
      </c>
      <c r="C134" s="11">
        <f>IF(125&lt;=$B$7,E133*$B$5/100/12,"")</f>
        <v/>
      </c>
      <c r="D134" s="11">
        <f>IF(125&lt;=$B$7,$B$6-C134,"")</f>
        <v/>
      </c>
      <c r="E134" s="11">
        <f>IF(125&lt;=$B$7,E133-D134,"")</f>
        <v/>
      </c>
    </row>
    <row r="135">
      <c r="A135" s="10">
        <f>IF(126&lt;=$B$7,126,"")</f>
        <v/>
      </c>
      <c r="B135" s="11">
        <f>IF(126&lt;=$B$7,$B$6,"")</f>
        <v/>
      </c>
      <c r="C135" s="11">
        <f>IF(126&lt;=$B$7,E134*$B$5/100/12,"")</f>
        <v/>
      </c>
      <c r="D135" s="11">
        <f>IF(126&lt;=$B$7,$B$6-C135,"")</f>
        <v/>
      </c>
      <c r="E135" s="11">
        <f>IF(126&lt;=$B$7,E134-D135,"")</f>
        <v/>
      </c>
    </row>
    <row r="136">
      <c r="A136" s="10">
        <f>IF(127&lt;=$B$7,127,"")</f>
        <v/>
      </c>
      <c r="B136" s="11">
        <f>IF(127&lt;=$B$7,$B$6,"")</f>
        <v/>
      </c>
      <c r="C136" s="11">
        <f>IF(127&lt;=$B$7,E135*$B$5/100/12,"")</f>
        <v/>
      </c>
      <c r="D136" s="11">
        <f>IF(127&lt;=$B$7,$B$6-C136,"")</f>
        <v/>
      </c>
      <c r="E136" s="11">
        <f>IF(127&lt;=$B$7,E135-D136,"")</f>
        <v/>
      </c>
    </row>
    <row r="137">
      <c r="A137" s="10">
        <f>IF(128&lt;=$B$7,128,"")</f>
        <v/>
      </c>
      <c r="B137" s="11">
        <f>IF(128&lt;=$B$7,$B$6,"")</f>
        <v/>
      </c>
      <c r="C137" s="11">
        <f>IF(128&lt;=$B$7,E136*$B$5/100/12,"")</f>
        <v/>
      </c>
      <c r="D137" s="11">
        <f>IF(128&lt;=$B$7,$B$6-C137,"")</f>
        <v/>
      </c>
      <c r="E137" s="11">
        <f>IF(128&lt;=$B$7,E136-D137,"")</f>
        <v/>
      </c>
    </row>
    <row r="138">
      <c r="A138" s="10">
        <f>IF(129&lt;=$B$7,129,"")</f>
        <v/>
      </c>
      <c r="B138" s="11">
        <f>IF(129&lt;=$B$7,$B$6,"")</f>
        <v/>
      </c>
      <c r="C138" s="11">
        <f>IF(129&lt;=$B$7,E137*$B$5/100/12,"")</f>
        <v/>
      </c>
      <c r="D138" s="11">
        <f>IF(129&lt;=$B$7,$B$6-C138,"")</f>
        <v/>
      </c>
      <c r="E138" s="11">
        <f>IF(129&lt;=$B$7,E137-D138,"")</f>
        <v/>
      </c>
    </row>
    <row r="139">
      <c r="A139" s="10">
        <f>IF(130&lt;=$B$7,130,"")</f>
        <v/>
      </c>
      <c r="B139" s="11">
        <f>IF(130&lt;=$B$7,$B$6,"")</f>
        <v/>
      </c>
      <c r="C139" s="11">
        <f>IF(130&lt;=$B$7,E138*$B$5/100/12,"")</f>
        <v/>
      </c>
      <c r="D139" s="11">
        <f>IF(130&lt;=$B$7,$B$6-C139,"")</f>
        <v/>
      </c>
      <c r="E139" s="11">
        <f>IF(130&lt;=$B$7,E138-D139,"")</f>
        <v/>
      </c>
    </row>
    <row r="140">
      <c r="A140" s="10">
        <f>IF(131&lt;=$B$7,131,"")</f>
        <v/>
      </c>
      <c r="B140" s="11">
        <f>IF(131&lt;=$B$7,$B$6,"")</f>
        <v/>
      </c>
      <c r="C140" s="11">
        <f>IF(131&lt;=$B$7,E139*$B$5/100/12,"")</f>
        <v/>
      </c>
      <c r="D140" s="11">
        <f>IF(131&lt;=$B$7,$B$6-C140,"")</f>
        <v/>
      </c>
      <c r="E140" s="11">
        <f>IF(131&lt;=$B$7,E139-D140,"")</f>
        <v/>
      </c>
    </row>
    <row r="141">
      <c r="A141" s="10">
        <f>IF(132&lt;=$B$7,132,"")</f>
        <v/>
      </c>
      <c r="B141" s="11">
        <f>IF(132&lt;=$B$7,$B$6,"")</f>
        <v/>
      </c>
      <c r="C141" s="11">
        <f>IF(132&lt;=$B$7,E140*$B$5/100/12,"")</f>
        <v/>
      </c>
      <c r="D141" s="11">
        <f>IF(132&lt;=$B$7,$B$6-C141,"")</f>
        <v/>
      </c>
      <c r="E141" s="11">
        <f>IF(132&lt;=$B$7,E140-D141,"")</f>
        <v/>
      </c>
    </row>
    <row r="142">
      <c r="A142" s="10">
        <f>IF(133&lt;=$B$7,133,"")</f>
        <v/>
      </c>
      <c r="B142" s="11">
        <f>IF(133&lt;=$B$7,$B$6,"")</f>
        <v/>
      </c>
      <c r="C142" s="11">
        <f>IF(133&lt;=$B$7,E141*$B$5/100/12,"")</f>
        <v/>
      </c>
      <c r="D142" s="11">
        <f>IF(133&lt;=$B$7,$B$6-C142,"")</f>
        <v/>
      </c>
      <c r="E142" s="11">
        <f>IF(133&lt;=$B$7,E141-D142,"")</f>
        <v/>
      </c>
    </row>
    <row r="143">
      <c r="A143" s="10">
        <f>IF(134&lt;=$B$7,134,"")</f>
        <v/>
      </c>
      <c r="B143" s="11">
        <f>IF(134&lt;=$B$7,$B$6,"")</f>
        <v/>
      </c>
      <c r="C143" s="11">
        <f>IF(134&lt;=$B$7,E142*$B$5/100/12,"")</f>
        <v/>
      </c>
      <c r="D143" s="11">
        <f>IF(134&lt;=$B$7,$B$6-C143,"")</f>
        <v/>
      </c>
      <c r="E143" s="11">
        <f>IF(134&lt;=$B$7,E142-D143,"")</f>
        <v/>
      </c>
    </row>
    <row r="144">
      <c r="A144" s="10">
        <f>IF(135&lt;=$B$7,135,"")</f>
        <v/>
      </c>
      <c r="B144" s="11">
        <f>IF(135&lt;=$B$7,$B$6,"")</f>
        <v/>
      </c>
      <c r="C144" s="11">
        <f>IF(135&lt;=$B$7,E143*$B$5/100/12,"")</f>
        <v/>
      </c>
      <c r="D144" s="11">
        <f>IF(135&lt;=$B$7,$B$6-C144,"")</f>
        <v/>
      </c>
      <c r="E144" s="11">
        <f>IF(135&lt;=$B$7,E143-D144,"")</f>
        <v/>
      </c>
    </row>
    <row r="145">
      <c r="A145" s="10">
        <f>IF(136&lt;=$B$7,136,"")</f>
        <v/>
      </c>
      <c r="B145" s="11">
        <f>IF(136&lt;=$B$7,$B$6,"")</f>
        <v/>
      </c>
      <c r="C145" s="11">
        <f>IF(136&lt;=$B$7,E144*$B$5/100/12,"")</f>
        <v/>
      </c>
      <c r="D145" s="11">
        <f>IF(136&lt;=$B$7,$B$6-C145,"")</f>
        <v/>
      </c>
      <c r="E145" s="11">
        <f>IF(136&lt;=$B$7,E144-D145,"")</f>
        <v/>
      </c>
    </row>
    <row r="146">
      <c r="A146" s="10">
        <f>IF(137&lt;=$B$7,137,"")</f>
        <v/>
      </c>
      <c r="B146" s="11">
        <f>IF(137&lt;=$B$7,$B$6,"")</f>
        <v/>
      </c>
      <c r="C146" s="11">
        <f>IF(137&lt;=$B$7,E145*$B$5/100/12,"")</f>
        <v/>
      </c>
      <c r="D146" s="11">
        <f>IF(137&lt;=$B$7,$B$6-C146,"")</f>
        <v/>
      </c>
      <c r="E146" s="11">
        <f>IF(137&lt;=$B$7,E145-D146,"")</f>
        <v/>
      </c>
    </row>
    <row r="147">
      <c r="A147" s="10">
        <f>IF(138&lt;=$B$7,138,"")</f>
        <v/>
      </c>
      <c r="B147" s="11">
        <f>IF(138&lt;=$B$7,$B$6,"")</f>
        <v/>
      </c>
      <c r="C147" s="11">
        <f>IF(138&lt;=$B$7,E146*$B$5/100/12,"")</f>
        <v/>
      </c>
      <c r="D147" s="11">
        <f>IF(138&lt;=$B$7,$B$6-C147,"")</f>
        <v/>
      </c>
      <c r="E147" s="11">
        <f>IF(138&lt;=$B$7,E146-D147,"")</f>
        <v/>
      </c>
    </row>
    <row r="148">
      <c r="A148" s="10">
        <f>IF(139&lt;=$B$7,139,"")</f>
        <v/>
      </c>
      <c r="B148" s="11">
        <f>IF(139&lt;=$B$7,$B$6,"")</f>
        <v/>
      </c>
      <c r="C148" s="11">
        <f>IF(139&lt;=$B$7,E147*$B$5/100/12,"")</f>
        <v/>
      </c>
      <c r="D148" s="11">
        <f>IF(139&lt;=$B$7,$B$6-C148,"")</f>
        <v/>
      </c>
      <c r="E148" s="11">
        <f>IF(139&lt;=$B$7,E147-D148,"")</f>
        <v/>
      </c>
    </row>
    <row r="149">
      <c r="A149" s="10">
        <f>IF(140&lt;=$B$7,140,"")</f>
        <v/>
      </c>
      <c r="B149" s="11">
        <f>IF(140&lt;=$B$7,$B$6,"")</f>
        <v/>
      </c>
      <c r="C149" s="11">
        <f>IF(140&lt;=$B$7,E148*$B$5/100/12,"")</f>
        <v/>
      </c>
      <c r="D149" s="11">
        <f>IF(140&lt;=$B$7,$B$6-C149,"")</f>
        <v/>
      </c>
      <c r="E149" s="11">
        <f>IF(140&lt;=$B$7,E148-D149,"")</f>
        <v/>
      </c>
    </row>
    <row r="150">
      <c r="A150" s="10">
        <f>IF(141&lt;=$B$7,141,"")</f>
        <v/>
      </c>
      <c r="B150" s="11">
        <f>IF(141&lt;=$B$7,$B$6,"")</f>
        <v/>
      </c>
      <c r="C150" s="11">
        <f>IF(141&lt;=$B$7,E149*$B$5/100/12,"")</f>
        <v/>
      </c>
      <c r="D150" s="11">
        <f>IF(141&lt;=$B$7,$B$6-C150,"")</f>
        <v/>
      </c>
      <c r="E150" s="11">
        <f>IF(141&lt;=$B$7,E149-D150,"")</f>
        <v/>
      </c>
    </row>
    <row r="151">
      <c r="A151" s="10">
        <f>IF(142&lt;=$B$7,142,"")</f>
        <v/>
      </c>
      <c r="B151" s="11">
        <f>IF(142&lt;=$B$7,$B$6,"")</f>
        <v/>
      </c>
      <c r="C151" s="11">
        <f>IF(142&lt;=$B$7,E150*$B$5/100/12,"")</f>
        <v/>
      </c>
      <c r="D151" s="11">
        <f>IF(142&lt;=$B$7,$B$6-C151,"")</f>
        <v/>
      </c>
      <c r="E151" s="11">
        <f>IF(142&lt;=$B$7,E150-D151,"")</f>
        <v/>
      </c>
    </row>
    <row r="152">
      <c r="A152" s="10">
        <f>IF(143&lt;=$B$7,143,"")</f>
        <v/>
      </c>
      <c r="B152" s="11">
        <f>IF(143&lt;=$B$7,$B$6,"")</f>
        <v/>
      </c>
      <c r="C152" s="11">
        <f>IF(143&lt;=$B$7,E151*$B$5/100/12,"")</f>
        <v/>
      </c>
      <c r="D152" s="11">
        <f>IF(143&lt;=$B$7,$B$6-C152,"")</f>
        <v/>
      </c>
      <c r="E152" s="11">
        <f>IF(143&lt;=$B$7,E151-D152,"")</f>
        <v/>
      </c>
    </row>
    <row r="153">
      <c r="A153" s="10">
        <f>IF(144&lt;=$B$7,144,"")</f>
        <v/>
      </c>
      <c r="B153" s="11">
        <f>IF(144&lt;=$B$7,$B$6,"")</f>
        <v/>
      </c>
      <c r="C153" s="11">
        <f>IF(144&lt;=$B$7,E152*$B$5/100/12,"")</f>
        <v/>
      </c>
      <c r="D153" s="11">
        <f>IF(144&lt;=$B$7,$B$6-C153,"")</f>
        <v/>
      </c>
      <c r="E153" s="11">
        <f>IF(144&lt;=$B$7,E152-D153,"")</f>
        <v/>
      </c>
    </row>
    <row r="154">
      <c r="A154" s="10">
        <f>IF(145&lt;=$B$7,145,"")</f>
        <v/>
      </c>
      <c r="B154" s="11">
        <f>IF(145&lt;=$B$7,$B$6,"")</f>
        <v/>
      </c>
      <c r="C154" s="11">
        <f>IF(145&lt;=$B$7,E153*$B$5/100/12,"")</f>
        <v/>
      </c>
      <c r="D154" s="11">
        <f>IF(145&lt;=$B$7,$B$6-C154,"")</f>
        <v/>
      </c>
      <c r="E154" s="11">
        <f>IF(145&lt;=$B$7,E153-D154,"")</f>
        <v/>
      </c>
    </row>
    <row r="155">
      <c r="A155" s="10">
        <f>IF(146&lt;=$B$7,146,"")</f>
        <v/>
      </c>
      <c r="B155" s="11">
        <f>IF(146&lt;=$B$7,$B$6,"")</f>
        <v/>
      </c>
      <c r="C155" s="11">
        <f>IF(146&lt;=$B$7,E154*$B$5/100/12,"")</f>
        <v/>
      </c>
      <c r="D155" s="11">
        <f>IF(146&lt;=$B$7,$B$6-C155,"")</f>
        <v/>
      </c>
      <c r="E155" s="11">
        <f>IF(146&lt;=$B$7,E154-D155,"")</f>
        <v/>
      </c>
    </row>
    <row r="156">
      <c r="A156" s="10">
        <f>IF(147&lt;=$B$7,147,"")</f>
        <v/>
      </c>
      <c r="B156" s="11">
        <f>IF(147&lt;=$B$7,$B$6,"")</f>
        <v/>
      </c>
      <c r="C156" s="11">
        <f>IF(147&lt;=$B$7,E155*$B$5/100/12,"")</f>
        <v/>
      </c>
      <c r="D156" s="11">
        <f>IF(147&lt;=$B$7,$B$6-C156,"")</f>
        <v/>
      </c>
      <c r="E156" s="11">
        <f>IF(147&lt;=$B$7,E155-D156,"")</f>
        <v/>
      </c>
    </row>
    <row r="157">
      <c r="A157" s="10">
        <f>IF(148&lt;=$B$7,148,"")</f>
        <v/>
      </c>
      <c r="B157" s="11">
        <f>IF(148&lt;=$B$7,$B$6,"")</f>
        <v/>
      </c>
      <c r="C157" s="11">
        <f>IF(148&lt;=$B$7,E156*$B$5/100/12,"")</f>
        <v/>
      </c>
      <c r="D157" s="11">
        <f>IF(148&lt;=$B$7,$B$6-C157,"")</f>
        <v/>
      </c>
      <c r="E157" s="11">
        <f>IF(148&lt;=$B$7,E156-D157,"")</f>
        <v/>
      </c>
    </row>
    <row r="158">
      <c r="A158" s="10">
        <f>IF(149&lt;=$B$7,149,"")</f>
        <v/>
      </c>
      <c r="B158" s="11">
        <f>IF(149&lt;=$B$7,$B$6,"")</f>
        <v/>
      </c>
      <c r="C158" s="11">
        <f>IF(149&lt;=$B$7,E157*$B$5/100/12,"")</f>
        <v/>
      </c>
      <c r="D158" s="11">
        <f>IF(149&lt;=$B$7,$B$6-C158,"")</f>
        <v/>
      </c>
      <c r="E158" s="11">
        <f>IF(149&lt;=$B$7,E157-D158,"")</f>
        <v/>
      </c>
    </row>
    <row r="159">
      <c r="A159" s="10">
        <f>IF(150&lt;=$B$7,150,"")</f>
        <v/>
      </c>
      <c r="B159" s="11">
        <f>IF(150&lt;=$B$7,$B$6,"")</f>
        <v/>
      </c>
      <c r="C159" s="11">
        <f>IF(150&lt;=$B$7,E158*$B$5/100/12,"")</f>
        <v/>
      </c>
      <c r="D159" s="11">
        <f>IF(150&lt;=$B$7,$B$6-C159,"")</f>
        <v/>
      </c>
      <c r="E159" s="11">
        <f>IF(150&lt;=$B$7,E158-D159,"")</f>
        <v/>
      </c>
    </row>
    <row r="160">
      <c r="A160" s="10">
        <f>IF(151&lt;=$B$7,151,"")</f>
        <v/>
      </c>
      <c r="B160" s="11">
        <f>IF(151&lt;=$B$7,$B$6,"")</f>
        <v/>
      </c>
      <c r="C160" s="11">
        <f>IF(151&lt;=$B$7,E159*$B$5/100/12,"")</f>
        <v/>
      </c>
      <c r="D160" s="11">
        <f>IF(151&lt;=$B$7,$B$6-C160,"")</f>
        <v/>
      </c>
      <c r="E160" s="11">
        <f>IF(151&lt;=$B$7,E159-D160,"")</f>
        <v/>
      </c>
    </row>
    <row r="161">
      <c r="A161" s="10">
        <f>IF(152&lt;=$B$7,152,"")</f>
        <v/>
      </c>
      <c r="B161" s="11">
        <f>IF(152&lt;=$B$7,$B$6,"")</f>
        <v/>
      </c>
      <c r="C161" s="11">
        <f>IF(152&lt;=$B$7,E160*$B$5/100/12,"")</f>
        <v/>
      </c>
      <c r="D161" s="11">
        <f>IF(152&lt;=$B$7,$B$6-C161,"")</f>
        <v/>
      </c>
      <c r="E161" s="11">
        <f>IF(152&lt;=$B$7,E160-D161,"")</f>
        <v/>
      </c>
    </row>
    <row r="162">
      <c r="A162" s="10">
        <f>IF(153&lt;=$B$7,153,"")</f>
        <v/>
      </c>
      <c r="B162" s="11">
        <f>IF(153&lt;=$B$7,$B$6,"")</f>
        <v/>
      </c>
      <c r="C162" s="11">
        <f>IF(153&lt;=$B$7,E161*$B$5/100/12,"")</f>
        <v/>
      </c>
      <c r="D162" s="11">
        <f>IF(153&lt;=$B$7,$B$6-C162,"")</f>
        <v/>
      </c>
      <c r="E162" s="11">
        <f>IF(153&lt;=$B$7,E161-D162,"")</f>
        <v/>
      </c>
    </row>
    <row r="163">
      <c r="A163" s="10">
        <f>IF(154&lt;=$B$7,154,"")</f>
        <v/>
      </c>
      <c r="B163" s="11">
        <f>IF(154&lt;=$B$7,$B$6,"")</f>
        <v/>
      </c>
      <c r="C163" s="11">
        <f>IF(154&lt;=$B$7,E162*$B$5/100/12,"")</f>
        <v/>
      </c>
      <c r="D163" s="11">
        <f>IF(154&lt;=$B$7,$B$6-C163,"")</f>
        <v/>
      </c>
      <c r="E163" s="11">
        <f>IF(154&lt;=$B$7,E162-D163,"")</f>
        <v/>
      </c>
    </row>
    <row r="164">
      <c r="A164" s="10">
        <f>IF(155&lt;=$B$7,155,"")</f>
        <v/>
      </c>
      <c r="B164" s="11">
        <f>IF(155&lt;=$B$7,$B$6,"")</f>
        <v/>
      </c>
      <c r="C164" s="11">
        <f>IF(155&lt;=$B$7,E163*$B$5/100/12,"")</f>
        <v/>
      </c>
      <c r="D164" s="11">
        <f>IF(155&lt;=$B$7,$B$6-C164,"")</f>
        <v/>
      </c>
      <c r="E164" s="11">
        <f>IF(155&lt;=$B$7,E163-D164,"")</f>
        <v/>
      </c>
    </row>
    <row r="165">
      <c r="A165" s="10">
        <f>IF(156&lt;=$B$7,156,"")</f>
        <v/>
      </c>
      <c r="B165" s="11">
        <f>IF(156&lt;=$B$7,$B$6,"")</f>
        <v/>
      </c>
      <c r="C165" s="11">
        <f>IF(156&lt;=$B$7,E164*$B$5/100/12,"")</f>
        <v/>
      </c>
      <c r="D165" s="11">
        <f>IF(156&lt;=$B$7,$B$6-C165,"")</f>
        <v/>
      </c>
      <c r="E165" s="11">
        <f>IF(156&lt;=$B$7,E164-D165,"")</f>
        <v/>
      </c>
    </row>
    <row r="166">
      <c r="A166" s="10">
        <f>IF(157&lt;=$B$7,157,"")</f>
        <v/>
      </c>
      <c r="B166" s="11">
        <f>IF(157&lt;=$B$7,$B$6,"")</f>
        <v/>
      </c>
      <c r="C166" s="11">
        <f>IF(157&lt;=$B$7,E165*$B$5/100/12,"")</f>
        <v/>
      </c>
      <c r="D166" s="11">
        <f>IF(157&lt;=$B$7,$B$6-C166,"")</f>
        <v/>
      </c>
      <c r="E166" s="11">
        <f>IF(157&lt;=$B$7,E165-D166,"")</f>
        <v/>
      </c>
    </row>
    <row r="167">
      <c r="A167" s="10">
        <f>IF(158&lt;=$B$7,158,"")</f>
        <v/>
      </c>
      <c r="B167" s="11">
        <f>IF(158&lt;=$B$7,$B$6,"")</f>
        <v/>
      </c>
      <c r="C167" s="11">
        <f>IF(158&lt;=$B$7,E166*$B$5/100/12,"")</f>
        <v/>
      </c>
      <c r="D167" s="11">
        <f>IF(158&lt;=$B$7,$B$6-C167,"")</f>
        <v/>
      </c>
      <c r="E167" s="11">
        <f>IF(158&lt;=$B$7,E166-D167,"")</f>
        <v/>
      </c>
    </row>
    <row r="168">
      <c r="A168" s="10">
        <f>IF(159&lt;=$B$7,159,"")</f>
        <v/>
      </c>
      <c r="B168" s="11">
        <f>IF(159&lt;=$B$7,$B$6,"")</f>
        <v/>
      </c>
      <c r="C168" s="11">
        <f>IF(159&lt;=$B$7,E167*$B$5/100/12,"")</f>
        <v/>
      </c>
      <c r="D168" s="11">
        <f>IF(159&lt;=$B$7,$B$6-C168,"")</f>
        <v/>
      </c>
      <c r="E168" s="11">
        <f>IF(159&lt;=$B$7,E167-D168,"")</f>
        <v/>
      </c>
    </row>
    <row r="169">
      <c r="A169" s="10">
        <f>IF(160&lt;=$B$7,160,"")</f>
        <v/>
      </c>
      <c r="B169" s="11">
        <f>IF(160&lt;=$B$7,$B$6,"")</f>
        <v/>
      </c>
      <c r="C169" s="11">
        <f>IF(160&lt;=$B$7,E168*$B$5/100/12,"")</f>
        <v/>
      </c>
      <c r="D169" s="11">
        <f>IF(160&lt;=$B$7,$B$6-C169,"")</f>
        <v/>
      </c>
      <c r="E169" s="11">
        <f>IF(160&lt;=$B$7,E168-D169,"")</f>
        <v/>
      </c>
    </row>
    <row r="170">
      <c r="A170" s="10">
        <f>IF(161&lt;=$B$7,161,"")</f>
        <v/>
      </c>
      <c r="B170" s="11">
        <f>IF(161&lt;=$B$7,$B$6,"")</f>
        <v/>
      </c>
      <c r="C170" s="11">
        <f>IF(161&lt;=$B$7,E169*$B$5/100/12,"")</f>
        <v/>
      </c>
      <c r="D170" s="11">
        <f>IF(161&lt;=$B$7,$B$6-C170,"")</f>
        <v/>
      </c>
      <c r="E170" s="11">
        <f>IF(161&lt;=$B$7,E169-D170,"")</f>
        <v/>
      </c>
    </row>
    <row r="171">
      <c r="A171" s="10">
        <f>IF(162&lt;=$B$7,162,"")</f>
        <v/>
      </c>
      <c r="B171" s="11">
        <f>IF(162&lt;=$B$7,$B$6,"")</f>
        <v/>
      </c>
      <c r="C171" s="11">
        <f>IF(162&lt;=$B$7,E170*$B$5/100/12,"")</f>
        <v/>
      </c>
      <c r="D171" s="11">
        <f>IF(162&lt;=$B$7,$B$6-C171,"")</f>
        <v/>
      </c>
      <c r="E171" s="11">
        <f>IF(162&lt;=$B$7,E170-D171,"")</f>
        <v/>
      </c>
    </row>
    <row r="172">
      <c r="A172" s="10">
        <f>IF(163&lt;=$B$7,163,"")</f>
        <v/>
      </c>
      <c r="B172" s="11">
        <f>IF(163&lt;=$B$7,$B$6,"")</f>
        <v/>
      </c>
      <c r="C172" s="11">
        <f>IF(163&lt;=$B$7,E171*$B$5/100/12,"")</f>
        <v/>
      </c>
      <c r="D172" s="11">
        <f>IF(163&lt;=$B$7,$B$6-C172,"")</f>
        <v/>
      </c>
      <c r="E172" s="11">
        <f>IF(163&lt;=$B$7,E171-D172,"")</f>
        <v/>
      </c>
    </row>
    <row r="173">
      <c r="A173" s="10">
        <f>IF(164&lt;=$B$7,164,"")</f>
        <v/>
      </c>
      <c r="B173" s="11">
        <f>IF(164&lt;=$B$7,$B$6,"")</f>
        <v/>
      </c>
      <c r="C173" s="11">
        <f>IF(164&lt;=$B$7,E172*$B$5/100/12,"")</f>
        <v/>
      </c>
      <c r="D173" s="11">
        <f>IF(164&lt;=$B$7,$B$6-C173,"")</f>
        <v/>
      </c>
      <c r="E173" s="11">
        <f>IF(164&lt;=$B$7,E172-D173,"")</f>
        <v/>
      </c>
    </row>
    <row r="174">
      <c r="A174" s="10">
        <f>IF(165&lt;=$B$7,165,"")</f>
        <v/>
      </c>
      <c r="B174" s="11">
        <f>IF(165&lt;=$B$7,$B$6,"")</f>
        <v/>
      </c>
      <c r="C174" s="11">
        <f>IF(165&lt;=$B$7,E173*$B$5/100/12,"")</f>
        <v/>
      </c>
      <c r="D174" s="11">
        <f>IF(165&lt;=$B$7,$B$6-C174,"")</f>
        <v/>
      </c>
      <c r="E174" s="11">
        <f>IF(165&lt;=$B$7,E173-D174,"")</f>
        <v/>
      </c>
    </row>
    <row r="175">
      <c r="A175" s="10">
        <f>IF(166&lt;=$B$7,166,"")</f>
        <v/>
      </c>
      <c r="B175" s="11">
        <f>IF(166&lt;=$B$7,$B$6,"")</f>
        <v/>
      </c>
      <c r="C175" s="11">
        <f>IF(166&lt;=$B$7,E174*$B$5/100/12,"")</f>
        <v/>
      </c>
      <c r="D175" s="11">
        <f>IF(166&lt;=$B$7,$B$6-C175,"")</f>
        <v/>
      </c>
      <c r="E175" s="11">
        <f>IF(166&lt;=$B$7,E174-D175,"")</f>
        <v/>
      </c>
    </row>
    <row r="176">
      <c r="A176" s="10">
        <f>IF(167&lt;=$B$7,167,"")</f>
        <v/>
      </c>
      <c r="B176" s="11">
        <f>IF(167&lt;=$B$7,$B$6,"")</f>
        <v/>
      </c>
      <c r="C176" s="11">
        <f>IF(167&lt;=$B$7,E175*$B$5/100/12,"")</f>
        <v/>
      </c>
      <c r="D176" s="11">
        <f>IF(167&lt;=$B$7,$B$6-C176,"")</f>
        <v/>
      </c>
      <c r="E176" s="11">
        <f>IF(167&lt;=$B$7,E175-D176,"")</f>
        <v/>
      </c>
    </row>
    <row r="177">
      <c r="A177" s="10">
        <f>IF(168&lt;=$B$7,168,"")</f>
        <v/>
      </c>
      <c r="B177" s="11">
        <f>IF(168&lt;=$B$7,$B$6,"")</f>
        <v/>
      </c>
      <c r="C177" s="11">
        <f>IF(168&lt;=$B$7,E176*$B$5/100/12,"")</f>
        <v/>
      </c>
      <c r="D177" s="11">
        <f>IF(168&lt;=$B$7,$B$6-C177,"")</f>
        <v/>
      </c>
      <c r="E177" s="11">
        <f>IF(168&lt;=$B$7,E176-D177,"")</f>
        <v/>
      </c>
    </row>
    <row r="178">
      <c r="A178" s="10">
        <f>IF(169&lt;=$B$7,169,"")</f>
        <v/>
      </c>
      <c r="B178" s="11">
        <f>IF(169&lt;=$B$7,$B$6,"")</f>
        <v/>
      </c>
      <c r="C178" s="11">
        <f>IF(169&lt;=$B$7,E177*$B$5/100/12,"")</f>
        <v/>
      </c>
      <c r="D178" s="11">
        <f>IF(169&lt;=$B$7,$B$6-C178,"")</f>
        <v/>
      </c>
      <c r="E178" s="11">
        <f>IF(169&lt;=$B$7,E177-D178,"")</f>
        <v/>
      </c>
    </row>
    <row r="179">
      <c r="A179" s="10">
        <f>IF(170&lt;=$B$7,170,"")</f>
        <v/>
      </c>
      <c r="B179" s="11">
        <f>IF(170&lt;=$B$7,$B$6,"")</f>
        <v/>
      </c>
      <c r="C179" s="11">
        <f>IF(170&lt;=$B$7,E178*$B$5/100/12,"")</f>
        <v/>
      </c>
      <c r="D179" s="11">
        <f>IF(170&lt;=$B$7,$B$6-C179,"")</f>
        <v/>
      </c>
      <c r="E179" s="11">
        <f>IF(170&lt;=$B$7,E178-D179,"")</f>
        <v/>
      </c>
    </row>
    <row r="180">
      <c r="A180" s="10">
        <f>IF(171&lt;=$B$7,171,"")</f>
        <v/>
      </c>
      <c r="B180" s="11">
        <f>IF(171&lt;=$B$7,$B$6,"")</f>
        <v/>
      </c>
      <c r="C180" s="11">
        <f>IF(171&lt;=$B$7,E179*$B$5/100/12,"")</f>
        <v/>
      </c>
      <c r="D180" s="11">
        <f>IF(171&lt;=$B$7,$B$6-C180,"")</f>
        <v/>
      </c>
      <c r="E180" s="11">
        <f>IF(171&lt;=$B$7,E179-D180,"")</f>
        <v/>
      </c>
    </row>
    <row r="181">
      <c r="A181" s="10">
        <f>IF(172&lt;=$B$7,172,"")</f>
        <v/>
      </c>
      <c r="B181" s="11">
        <f>IF(172&lt;=$B$7,$B$6,"")</f>
        <v/>
      </c>
      <c r="C181" s="11">
        <f>IF(172&lt;=$B$7,E180*$B$5/100/12,"")</f>
        <v/>
      </c>
      <c r="D181" s="11">
        <f>IF(172&lt;=$B$7,$B$6-C181,"")</f>
        <v/>
      </c>
      <c r="E181" s="11">
        <f>IF(172&lt;=$B$7,E180-D181,"")</f>
        <v/>
      </c>
    </row>
    <row r="182">
      <c r="A182" s="10">
        <f>IF(173&lt;=$B$7,173,"")</f>
        <v/>
      </c>
      <c r="B182" s="11">
        <f>IF(173&lt;=$B$7,$B$6,"")</f>
        <v/>
      </c>
      <c r="C182" s="11">
        <f>IF(173&lt;=$B$7,E181*$B$5/100/12,"")</f>
        <v/>
      </c>
      <c r="D182" s="11">
        <f>IF(173&lt;=$B$7,$B$6-C182,"")</f>
        <v/>
      </c>
      <c r="E182" s="11">
        <f>IF(173&lt;=$B$7,E181-D182,"")</f>
        <v/>
      </c>
    </row>
    <row r="183">
      <c r="A183" s="10">
        <f>IF(174&lt;=$B$7,174,"")</f>
        <v/>
      </c>
      <c r="B183" s="11">
        <f>IF(174&lt;=$B$7,$B$6,"")</f>
        <v/>
      </c>
      <c r="C183" s="11">
        <f>IF(174&lt;=$B$7,E182*$B$5/100/12,"")</f>
        <v/>
      </c>
      <c r="D183" s="11">
        <f>IF(174&lt;=$B$7,$B$6-C183,"")</f>
        <v/>
      </c>
      <c r="E183" s="11">
        <f>IF(174&lt;=$B$7,E182-D183,"")</f>
        <v/>
      </c>
    </row>
    <row r="184">
      <c r="A184" s="10">
        <f>IF(175&lt;=$B$7,175,"")</f>
        <v/>
      </c>
      <c r="B184" s="11">
        <f>IF(175&lt;=$B$7,$B$6,"")</f>
        <v/>
      </c>
      <c r="C184" s="11">
        <f>IF(175&lt;=$B$7,E183*$B$5/100/12,"")</f>
        <v/>
      </c>
      <c r="D184" s="11">
        <f>IF(175&lt;=$B$7,$B$6-C184,"")</f>
        <v/>
      </c>
      <c r="E184" s="11">
        <f>IF(175&lt;=$B$7,E183-D184,"")</f>
        <v/>
      </c>
    </row>
    <row r="185">
      <c r="A185" s="10">
        <f>IF(176&lt;=$B$7,176,"")</f>
        <v/>
      </c>
      <c r="B185" s="11">
        <f>IF(176&lt;=$B$7,$B$6,"")</f>
        <v/>
      </c>
      <c r="C185" s="11">
        <f>IF(176&lt;=$B$7,E184*$B$5/100/12,"")</f>
        <v/>
      </c>
      <c r="D185" s="11">
        <f>IF(176&lt;=$B$7,$B$6-C185,"")</f>
        <v/>
      </c>
      <c r="E185" s="11">
        <f>IF(176&lt;=$B$7,E184-D185,"")</f>
        <v/>
      </c>
    </row>
    <row r="186">
      <c r="A186" s="10">
        <f>IF(177&lt;=$B$7,177,"")</f>
        <v/>
      </c>
      <c r="B186" s="11">
        <f>IF(177&lt;=$B$7,$B$6,"")</f>
        <v/>
      </c>
      <c r="C186" s="11">
        <f>IF(177&lt;=$B$7,E185*$B$5/100/12,"")</f>
        <v/>
      </c>
      <c r="D186" s="11">
        <f>IF(177&lt;=$B$7,$B$6-C186,"")</f>
        <v/>
      </c>
      <c r="E186" s="11">
        <f>IF(177&lt;=$B$7,E185-D186,"")</f>
        <v/>
      </c>
    </row>
    <row r="187">
      <c r="A187" s="10">
        <f>IF(178&lt;=$B$7,178,"")</f>
        <v/>
      </c>
      <c r="B187" s="11">
        <f>IF(178&lt;=$B$7,$B$6,"")</f>
        <v/>
      </c>
      <c r="C187" s="11">
        <f>IF(178&lt;=$B$7,E186*$B$5/100/12,"")</f>
        <v/>
      </c>
      <c r="D187" s="11">
        <f>IF(178&lt;=$B$7,$B$6-C187,"")</f>
        <v/>
      </c>
      <c r="E187" s="11">
        <f>IF(178&lt;=$B$7,E186-D187,"")</f>
        <v/>
      </c>
    </row>
    <row r="188">
      <c r="A188" s="10">
        <f>IF(179&lt;=$B$7,179,"")</f>
        <v/>
      </c>
      <c r="B188" s="11">
        <f>IF(179&lt;=$B$7,$B$6,"")</f>
        <v/>
      </c>
      <c r="C188" s="11">
        <f>IF(179&lt;=$B$7,E187*$B$5/100/12,"")</f>
        <v/>
      </c>
      <c r="D188" s="11">
        <f>IF(179&lt;=$B$7,$B$6-C188,"")</f>
        <v/>
      </c>
      <c r="E188" s="11">
        <f>IF(179&lt;=$B$7,E187-D188,"")</f>
        <v/>
      </c>
    </row>
    <row r="189">
      <c r="A189" s="10">
        <f>IF(180&lt;=$B$7,180,"")</f>
        <v/>
      </c>
      <c r="B189" s="11">
        <f>IF(180&lt;=$B$7,$B$6,"")</f>
        <v/>
      </c>
      <c r="C189" s="11">
        <f>IF(180&lt;=$B$7,E188*$B$5/100/12,"")</f>
        <v/>
      </c>
      <c r="D189" s="11">
        <f>IF(180&lt;=$B$7,$B$6-C189,"")</f>
        <v/>
      </c>
      <c r="E189" s="11">
        <f>IF(180&lt;=$B$7,E188-D189,"")</f>
        <v/>
      </c>
    </row>
    <row r="190">
      <c r="A190" s="10">
        <f>IF(181&lt;=$B$7,181,"")</f>
        <v/>
      </c>
      <c r="B190" s="11">
        <f>IF(181&lt;=$B$7,$B$6,"")</f>
        <v/>
      </c>
      <c r="C190" s="11">
        <f>IF(181&lt;=$B$7,E189*$B$5/100/12,"")</f>
        <v/>
      </c>
      <c r="D190" s="11">
        <f>IF(181&lt;=$B$7,$B$6-C190,"")</f>
        <v/>
      </c>
      <c r="E190" s="11">
        <f>IF(181&lt;=$B$7,E189-D190,"")</f>
        <v/>
      </c>
    </row>
    <row r="191">
      <c r="A191" s="10">
        <f>IF(182&lt;=$B$7,182,"")</f>
        <v/>
      </c>
      <c r="B191" s="11">
        <f>IF(182&lt;=$B$7,$B$6,"")</f>
        <v/>
      </c>
      <c r="C191" s="11">
        <f>IF(182&lt;=$B$7,E190*$B$5/100/12,"")</f>
        <v/>
      </c>
      <c r="D191" s="11">
        <f>IF(182&lt;=$B$7,$B$6-C191,"")</f>
        <v/>
      </c>
      <c r="E191" s="11">
        <f>IF(182&lt;=$B$7,E190-D191,"")</f>
        <v/>
      </c>
    </row>
    <row r="192">
      <c r="A192" s="10">
        <f>IF(183&lt;=$B$7,183,"")</f>
        <v/>
      </c>
      <c r="B192" s="11">
        <f>IF(183&lt;=$B$7,$B$6,"")</f>
        <v/>
      </c>
      <c r="C192" s="11">
        <f>IF(183&lt;=$B$7,E191*$B$5/100/12,"")</f>
        <v/>
      </c>
      <c r="D192" s="11">
        <f>IF(183&lt;=$B$7,$B$6-C192,"")</f>
        <v/>
      </c>
      <c r="E192" s="11">
        <f>IF(183&lt;=$B$7,E191-D192,"")</f>
        <v/>
      </c>
    </row>
    <row r="193">
      <c r="A193" s="10">
        <f>IF(184&lt;=$B$7,184,"")</f>
        <v/>
      </c>
      <c r="B193" s="11">
        <f>IF(184&lt;=$B$7,$B$6,"")</f>
        <v/>
      </c>
      <c r="C193" s="11">
        <f>IF(184&lt;=$B$7,E192*$B$5/100/12,"")</f>
        <v/>
      </c>
      <c r="D193" s="11">
        <f>IF(184&lt;=$B$7,$B$6-C193,"")</f>
        <v/>
      </c>
      <c r="E193" s="11">
        <f>IF(184&lt;=$B$7,E192-D193,"")</f>
        <v/>
      </c>
    </row>
    <row r="194">
      <c r="A194" s="10">
        <f>IF(185&lt;=$B$7,185,"")</f>
        <v/>
      </c>
      <c r="B194" s="11">
        <f>IF(185&lt;=$B$7,$B$6,"")</f>
        <v/>
      </c>
      <c r="C194" s="11">
        <f>IF(185&lt;=$B$7,E193*$B$5/100/12,"")</f>
        <v/>
      </c>
      <c r="D194" s="11">
        <f>IF(185&lt;=$B$7,$B$6-C194,"")</f>
        <v/>
      </c>
      <c r="E194" s="11">
        <f>IF(185&lt;=$B$7,E193-D194,"")</f>
        <v/>
      </c>
    </row>
    <row r="195">
      <c r="A195" s="10">
        <f>IF(186&lt;=$B$7,186,"")</f>
        <v/>
      </c>
      <c r="B195" s="11">
        <f>IF(186&lt;=$B$7,$B$6,"")</f>
        <v/>
      </c>
      <c r="C195" s="11">
        <f>IF(186&lt;=$B$7,E194*$B$5/100/12,"")</f>
        <v/>
      </c>
      <c r="D195" s="11">
        <f>IF(186&lt;=$B$7,$B$6-C195,"")</f>
        <v/>
      </c>
      <c r="E195" s="11">
        <f>IF(186&lt;=$B$7,E194-D195,"")</f>
        <v/>
      </c>
    </row>
    <row r="196">
      <c r="A196" s="10">
        <f>IF(187&lt;=$B$7,187,"")</f>
        <v/>
      </c>
      <c r="B196" s="11">
        <f>IF(187&lt;=$B$7,$B$6,"")</f>
        <v/>
      </c>
      <c r="C196" s="11">
        <f>IF(187&lt;=$B$7,E195*$B$5/100/12,"")</f>
        <v/>
      </c>
      <c r="D196" s="11">
        <f>IF(187&lt;=$B$7,$B$6-C196,"")</f>
        <v/>
      </c>
      <c r="E196" s="11">
        <f>IF(187&lt;=$B$7,E195-D196,"")</f>
        <v/>
      </c>
    </row>
    <row r="197">
      <c r="A197" s="10">
        <f>IF(188&lt;=$B$7,188,"")</f>
        <v/>
      </c>
      <c r="B197" s="11">
        <f>IF(188&lt;=$B$7,$B$6,"")</f>
        <v/>
      </c>
      <c r="C197" s="11">
        <f>IF(188&lt;=$B$7,E196*$B$5/100/12,"")</f>
        <v/>
      </c>
      <c r="D197" s="11">
        <f>IF(188&lt;=$B$7,$B$6-C197,"")</f>
        <v/>
      </c>
      <c r="E197" s="11">
        <f>IF(188&lt;=$B$7,E196-D197,"")</f>
        <v/>
      </c>
    </row>
    <row r="198">
      <c r="A198" s="10">
        <f>IF(189&lt;=$B$7,189,"")</f>
        <v/>
      </c>
      <c r="B198" s="11">
        <f>IF(189&lt;=$B$7,$B$6,"")</f>
        <v/>
      </c>
      <c r="C198" s="11">
        <f>IF(189&lt;=$B$7,E197*$B$5/100/12,"")</f>
        <v/>
      </c>
      <c r="D198" s="11">
        <f>IF(189&lt;=$B$7,$B$6-C198,"")</f>
        <v/>
      </c>
      <c r="E198" s="11">
        <f>IF(189&lt;=$B$7,E197-D198,"")</f>
        <v/>
      </c>
    </row>
    <row r="199">
      <c r="A199" s="10">
        <f>IF(190&lt;=$B$7,190,"")</f>
        <v/>
      </c>
      <c r="B199" s="11">
        <f>IF(190&lt;=$B$7,$B$6,"")</f>
        <v/>
      </c>
      <c r="C199" s="11">
        <f>IF(190&lt;=$B$7,E198*$B$5/100/12,"")</f>
        <v/>
      </c>
      <c r="D199" s="11">
        <f>IF(190&lt;=$B$7,$B$6-C199,"")</f>
        <v/>
      </c>
      <c r="E199" s="11">
        <f>IF(190&lt;=$B$7,E198-D199,"")</f>
        <v/>
      </c>
    </row>
    <row r="200">
      <c r="A200" s="10">
        <f>IF(191&lt;=$B$7,191,"")</f>
        <v/>
      </c>
      <c r="B200" s="11">
        <f>IF(191&lt;=$B$7,$B$6,"")</f>
        <v/>
      </c>
      <c r="C200" s="11">
        <f>IF(191&lt;=$B$7,E199*$B$5/100/12,"")</f>
        <v/>
      </c>
      <c r="D200" s="11">
        <f>IF(191&lt;=$B$7,$B$6-C200,"")</f>
        <v/>
      </c>
      <c r="E200" s="11">
        <f>IF(191&lt;=$B$7,E199-D200,"")</f>
        <v/>
      </c>
    </row>
    <row r="201">
      <c r="A201" s="10">
        <f>IF(192&lt;=$B$7,192,"")</f>
        <v/>
      </c>
      <c r="B201" s="11">
        <f>IF(192&lt;=$B$7,$B$6,"")</f>
        <v/>
      </c>
      <c r="C201" s="11">
        <f>IF(192&lt;=$B$7,E200*$B$5/100/12,"")</f>
        <v/>
      </c>
      <c r="D201" s="11">
        <f>IF(192&lt;=$B$7,$B$6-C201,"")</f>
        <v/>
      </c>
      <c r="E201" s="11">
        <f>IF(192&lt;=$B$7,E200-D201,"")</f>
        <v/>
      </c>
    </row>
    <row r="202">
      <c r="A202" s="10">
        <f>IF(193&lt;=$B$7,193,"")</f>
        <v/>
      </c>
      <c r="B202" s="11">
        <f>IF(193&lt;=$B$7,$B$6,"")</f>
        <v/>
      </c>
      <c r="C202" s="11">
        <f>IF(193&lt;=$B$7,E201*$B$5/100/12,"")</f>
        <v/>
      </c>
      <c r="D202" s="11">
        <f>IF(193&lt;=$B$7,$B$6-C202,"")</f>
        <v/>
      </c>
      <c r="E202" s="11">
        <f>IF(193&lt;=$B$7,E201-D202,"")</f>
        <v/>
      </c>
    </row>
    <row r="203">
      <c r="A203" s="10">
        <f>IF(194&lt;=$B$7,194,"")</f>
        <v/>
      </c>
      <c r="B203" s="11">
        <f>IF(194&lt;=$B$7,$B$6,"")</f>
        <v/>
      </c>
      <c r="C203" s="11">
        <f>IF(194&lt;=$B$7,E202*$B$5/100/12,"")</f>
        <v/>
      </c>
      <c r="D203" s="11">
        <f>IF(194&lt;=$B$7,$B$6-C203,"")</f>
        <v/>
      </c>
      <c r="E203" s="11">
        <f>IF(194&lt;=$B$7,E202-D203,"")</f>
        <v/>
      </c>
    </row>
    <row r="204">
      <c r="A204" s="10">
        <f>IF(195&lt;=$B$7,195,"")</f>
        <v/>
      </c>
      <c r="B204" s="11">
        <f>IF(195&lt;=$B$7,$B$6,"")</f>
        <v/>
      </c>
      <c r="C204" s="11">
        <f>IF(195&lt;=$B$7,E203*$B$5/100/12,"")</f>
        <v/>
      </c>
      <c r="D204" s="11">
        <f>IF(195&lt;=$B$7,$B$6-C204,"")</f>
        <v/>
      </c>
      <c r="E204" s="11">
        <f>IF(195&lt;=$B$7,E203-D204,"")</f>
        <v/>
      </c>
    </row>
    <row r="205">
      <c r="A205" s="10">
        <f>IF(196&lt;=$B$7,196,"")</f>
        <v/>
      </c>
      <c r="B205" s="11">
        <f>IF(196&lt;=$B$7,$B$6,"")</f>
        <v/>
      </c>
      <c r="C205" s="11">
        <f>IF(196&lt;=$B$7,E204*$B$5/100/12,"")</f>
        <v/>
      </c>
      <c r="D205" s="11">
        <f>IF(196&lt;=$B$7,$B$6-C205,"")</f>
        <v/>
      </c>
      <c r="E205" s="11">
        <f>IF(196&lt;=$B$7,E204-D205,"")</f>
        <v/>
      </c>
    </row>
    <row r="206">
      <c r="A206" s="10">
        <f>IF(197&lt;=$B$7,197,"")</f>
        <v/>
      </c>
      <c r="B206" s="11">
        <f>IF(197&lt;=$B$7,$B$6,"")</f>
        <v/>
      </c>
      <c r="C206" s="11">
        <f>IF(197&lt;=$B$7,E205*$B$5/100/12,"")</f>
        <v/>
      </c>
      <c r="D206" s="11">
        <f>IF(197&lt;=$B$7,$B$6-C206,"")</f>
        <v/>
      </c>
      <c r="E206" s="11">
        <f>IF(197&lt;=$B$7,E205-D206,"")</f>
        <v/>
      </c>
    </row>
    <row r="207">
      <c r="A207" s="10">
        <f>IF(198&lt;=$B$7,198,"")</f>
        <v/>
      </c>
      <c r="B207" s="11">
        <f>IF(198&lt;=$B$7,$B$6,"")</f>
        <v/>
      </c>
      <c r="C207" s="11">
        <f>IF(198&lt;=$B$7,E206*$B$5/100/12,"")</f>
        <v/>
      </c>
      <c r="D207" s="11">
        <f>IF(198&lt;=$B$7,$B$6-C207,"")</f>
        <v/>
      </c>
      <c r="E207" s="11">
        <f>IF(198&lt;=$B$7,E206-D207,"")</f>
        <v/>
      </c>
    </row>
    <row r="208">
      <c r="A208" s="10">
        <f>IF(199&lt;=$B$7,199,"")</f>
        <v/>
      </c>
      <c r="B208" s="11">
        <f>IF(199&lt;=$B$7,$B$6,"")</f>
        <v/>
      </c>
      <c r="C208" s="11">
        <f>IF(199&lt;=$B$7,E207*$B$5/100/12,"")</f>
        <v/>
      </c>
      <c r="D208" s="11">
        <f>IF(199&lt;=$B$7,$B$6-C208,"")</f>
        <v/>
      </c>
      <c r="E208" s="11">
        <f>IF(199&lt;=$B$7,E207-D208,"")</f>
        <v/>
      </c>
    </row>
    <row r="209">
      <c r="A209" s="10">
        <f>IF(200&lt;=$B$7,200,"")</f>
        <v/>
      </c>
      <c r="B209" s="11">
        <f>IF(200&lt;=$B$7,$B$6,"")</f>
        <v/>
      </c>
      <c r="C209" s="11">
        <f>IF(200&lt;=$B$7,E208*$B$5/100/12,"")</f>
        <v/>
      </c>
      <c r="D209" s="11">
        <f>IF(200&lt;=$B$7,$B$6-C209,"")</f>
        <v/>
      </c>
      <c r="E209" s="11">
        <f>IF(200&lt;=$B$7,E208-D209,"")</f>
        <v/>
      </c>
    </row>
    <row r="210">
      <c r="A210" s="10">
        <f>IF(201&lt;=$B$7,201,"")</f>
        <v/>
      </c>
      <c r="B210" s="11">
        <f>IF(201&lt;=$B$7,$B$6,"")</f>
        <v/>
      </c>
      <c r="C210" s="11">
        <f>IF(201&lt;=$B$7,E209*$B$5/100/12,"")</f>
        <v/>
      </c>
      <c r="D210" s="11">
        <f>IF(201&lt;=$B$7,$B$6-C210,"")</f>
        <v/>
      </c>
      <c r="E210" s="11">
        <f>IF(201&lt;=$B$7,E209-D210,"")</f>
        <v/>
      </c>
    </row>
    <row r="211">
      <c r="A211" s="10">
        <f>IF(202&lt;=$B$7,202,"")</f>
        <v/>
      </c>
      <c r="B211" s="11">
        <f>IF(202&lt;=$B$7,$B$6,"")</f>
        <v/>
      </c>
      <c r="C211" s="11">
        <f>IF(202&lt;=$B$7,E210*$B$5/100/12,"")</f>
        <v/>
      </c>
      <c r="D211" s="11">
        <f>IF(202&lt;=$B$7,$B$6-C211,"")</f>
        <v/>
      </c>
      <c r="E211" s="11">
        <f>IF(202&lt;=$B$7,E210-D211,"")</f>
        <v/>
      </c>
    </row>
    <row r="212">
      <c r="A212" s="10">
        <f>IF(203&lt;=$B$7,203,"")</f>
        <v/>
      </c>
      <c r="B212" s="11">
        <f>IF(203&lt;=$B$7,$B$6,"")</f>
        <v/>
      </c>
      <c r="C212" s="11">
        <f>IF(203&lt;=$B$7,E211*$B$5/100/12,"")</f>
        <v/>
      </c>
      <c r="D212" s="11">
        <f>IF(203&lt;=$B$7,$B$6-C212,"")</f>
        <v/>
      </c>
      <c r="E212" s="11">
        <f>IF(203&lt;=$B$7,E211-D212,"")</f>
        <v/>
      </c>
    </row>
    <row r="213">
      <c r="A213" s="10">
        <f>IF(204&lt;=$B$7,204,"")</f>
        <v/>
      </c>
      <c r="B213" s="11">
        <f>IF(204&lt;=$B$7,$B$6,"")</f>
        <v/>
      </c>
      <c r="C213" s="11">
        <f>IF(204&lt;=$B$7,E212*$B$5/100/12,"")</f>
        <v/>
      </c>
      <c r="D213" s="11">
        <f>IF(204&lt;=$B$7,$B$6-C213,"")</f>
        <v/>
      </c>
      <c r="E213" s="11">
        <f>IF(204&lt;=$B$7,E212-D213,"")</f>
        <v/>
      </c>
    </row>
    <row r="214">
      <c r="A214" s="10">
        <f>IF(205&lt;=$B$7,205,"")</f>
        <v/>
      </c>
      <c r="B214" s="11">
        <f>IF(205&lt;=$B$7,$B$6,"")</f>
        <v/>
      </c>
      <c r="C214" s="11">
        <f>IF(205&lt;=$B$7,E213*$B$5/100/12,"")</f>
        <v/>
      </c>
      <c r="D214" s="11">
        <f>IF(205&lt;=$B$7,$B$6-C214,"")</f>
        <v/>
      </c>
      <c r="E214" s="11">
        <f>IF(205&lt;=$B$7,E213-D214,"")</f>
        <v/>
      </c>
    </row>
    <row r="215">
      <c r="A215" s="10">
        <f>IF(206&lt;=$B$7,206,"")</f>
        <v/>
      </c>
      <c r="B215" s="11">
        <f>IF(206&lt;=$B$7,$B$6,"")</f>
        <v/>
      </c>
      <c r="C215" s="11">
        <f>IF(206&lt;=$B$7,E214*$B$5/100/12,"")</f>
        <v/>
      </c>
      <c r="D215" s="11">
        <f>IF(206&lt;=$B$7,$B$6-C215,"")</f>
        <v/>
      </c>
      <c r="E215" s="11">
        <f>IF(206&lt;=$B$7,E214-D215,"")</f>
        <v/>
      </c>
    </row>
    <row r="216">
      <c r="A216" s="10">
        <f>IF(207&lt;=$B$7,207,"")</f>
        <v/>
      </c>
      <c r="B216" s="11">
        <f>IF(207&lt;=$B$7,$B$6,"")</f>
        <v/>
      </c>
      <c r="C216" s="11">
        <f>IF(207&lt;=$B$7,E215*$B$5/100/12,"")</f>
        <v/>
      </c>
      <c r="D216" s="11">
        <f>IF(207&lt;=$B$7,$B$6-C216,"")</f>
        <v/>
      </c>
      <c r="E216" s="11">
        <f>IF(207&lt;=$B$7,E215-D216,"")</f>
        <v/>
      </c>
    </row>
    <row r="217">
      <c r="A217" s="10">
        <f>IF(208&lt;=$B$7,208,"")</f>
        <v/>
      </c>
      <c r="B217" s="11">
        <f>IF(208&lt;=$B$7,$B$6,"")</f>
        <v/>
      </c>
      <c r="C217" s="11">
        <f>IF(208&lt;=$B$7,E216*$B$5/100/12,"")</f>
        <v/>
      </c>
      <c r="D217" s="11">
        <f>IF(208&lt;=$B$7,$B$6-C217,"")</f>
        <v/>
      </c>
      <c r="E217" s="11">
        <f>IF(208&lt;=$B$7,E216-D217,"")</f>
        <v/>
      </c>
    </row>
    <row r="218">
      <c r="A218" s="10">
        <f>IF(209&lt;=$B$7,209,"")</f>
        <v/>
      </c>
      <c r="B218" s="11">
        <f>IF(209&lt;=$B$7,$B$6,"")</f>
        <v/>
      </c>
      <c r="C218" s="11">
        <f>IF(209&lt;=$B$7,E217*$B$5/100/12,"")</f>
        <v/>
      </c>
      <c r="D218" s="11">
        <f>IF(209&lt;=$B$7,$B$6-C218,"")</f>
        <v/>
      </c>
      <c r="E218" s="11">
        <f>IF(209&lt;=$B$7,E217-D218,"")</f>
        <v/>
      </c>
    </row>
    <row r="219">
      <c r="A219" s="10">
        <f>IF(210&lt;=$B$7,210,"")</f>
        <v/>
      </c>
      <c r="B219" s="11">
        <f>IF(210&lt;=$B$7,$B$6,"")</f>
        <v/>
      </c>
      <c r="C219" s="11">
        <f>IF(210&lt;=$B$7,E218*$B$5/100/12,"")</f>
        <v/>
      </c>
      <c r="D219" s="11">
        <f>IF(210&lt;=$B$7,$B$6-C219,"")</f>
        <v/>
      </c>
      <c r="E219" s="11">
        <f>IF(210&lt;=$B$7,E218-D219,"")</f>
        <v/>
      </c>
    </row>
    <row r="220">
      <c r="A220" s="10">
        <f>IF(211&lt;=$B$7,211,"")</f>
        <v/>
      </c>
      <c r="B220" s="11">
        <f>IF(211&lt;=$B$7,$B$6,"")</f>
        <v/>
      </c>
      <c r="C220" s="11">
        <f>IF(211&lt;=$B$7,E219*$B$5/100/12,"")</f>
        <v/>
      </c>
      <c r="D220" s="11">
        <f>IF(211&lt;=$B$7,$B$6-C220,"")</f>
        <v/>
      </c>
      <c r="E220" s="11">
        <f>IF(211&lt;=$B$7,E219-D220,"")</f>
        <v/>
      </c>
    </row>
    <row r="221">
      <c r="A221" s="10">
        <f>IF(212&lt;=$B$7,212,"")</f>
        <v/>
      </c>
      <c r="B221" s="11">
        <f>IF(212&lt;=$B$7,$B$6,"")</f>
        <v/>
      </c>
      <c r="C221" s="11">
        <f>IF(212&lt;=$B$7,E220*$B$5/100/12,"")</f>
        <v/>
      </c>
      <c r="D221" s="11">
        <f>IF(212&lt;=$B$7,$B$6-C221,"")</f>
        <v/>
      </c>
      <c r="E221" s="11">
        <f>IF(212&lt;=$B$7,E220-D221,"")</f>
        <v/>
      </c>
    </row>
    <row r="222">
      <c r="A222" s="10">
        <f>IF(213&lt;=$B$7,213,"")</f>
        <v/>
      </c>
      <c r="B222" s="11">
        <f>IF(213&lt;=$B$7,$B$6,"")</f>
        <v/>
      </c>
      <c r="C222" s="11">
        <f>IF(213&lt;=$B$7,E221*$B$5/100/12,"")</f>
        <v/>
      </c>
      <c r="D222" s="11">
        <f>IF(213&lt;=$B$7,$B$6-C222,"")</f>
        <v/>
      </c>
      <c r="E222" s="11">
        <f>IF(213&lt;=$B$7,E221-D222,"")</f>
        <v/>
      </c>
    </row>
    <row r="223">
      <c r="A223" s="10">
        <f>IF(214&lt;=$B$7,214,"")</f>
        <v/>
      </c>
      <c r="B223" s="11">
        <f>IF(214&lt;=$B$7,$B$6,"")</f>
        <v/>
      </c>
      <c r="C223" s="11">
        <f>IF(214&lt;=$B$7,E222*$B$5/100/12,"")</f>
        <v/>
      </c>
      <c r="D223" s="11">
        <f>IF(214&lt;=$B$7,$B$6-C223,"")</f>
        <v/>
      </c>
      <c r="E223" s="11">
        <f>IF(214&lt;=$B$7,E222-D223,"")</f>
        <v/>
      </c>
    </row>
    <row r="224">
      <c r="A224" s="10">
        <f>IF(215&lt;=$B$7,215,"")</f>
        <v/>
      </c>
      <c r="B224" s="11">
        <f>IF(215&lt;=$B$7,$B$6,"")</f>
        <v/>
      </c>
      <c r="C224" s="11">
        <f>IF(215&lt;=$B$7,E223*$B$5/100/12,"")</f>
        <v/>
      </c>
      <c r="D224" s="11">
        <f>IF(215&lt;=$B$7,$B$6-C224,"")</f>
        <v/>
      </c>
      <c r="E224" s="11">
        <f>IF(215&lt;=$B$7,E223-D224,"")</f>
        <v/>
      </c>
    </row>
    <row r="225">
      <c r="A225" s="10">
        <f>IF(216&lt;=$B$7,216,"")</f>
        <v/>
      </c>
      <c r="B225" s="11">
        <f>IF(216&lt;=$B$7,$B$6,"")</f>
        <v/>
      </c>
      <c r="C225" s="11">
        <f>IF(216&lt;=$B$7,E224*$B$5/100/12,"")</f>
        <v/>
      </c>
      <c r="D225" s="11">
        <f>IF(216&lt;=$B$7,$B$6-C225,"")</f>
        <v/>
      </c>
      <c r="E225" s="11">
        <f>IF(216&lt;=$B$7,E224-D225,"")</f>
        <v/>
      </c>
    </row>
    <row r="226">
      <c r="A226" s="10">
        <f>IF(217&lt;=$B$7,217,"")</f>
        <v/>
      </c>
      <c r="B226" s="11">
        <f>IF(217&lt;=$B$7,$B$6,"")</f>
        <v/>
      </c>
      <c r="C226" s="11">
        <f>IF(217&lt;=$B$7,E225*$B$5/100/12,"")</f>
        <v/>
      </c>
      <c r="D226" s="11">
        <f>IF(217&lt;=$B$7,$B$6-C226,"")</f>
        <v/>
      </c>
      <c r="E226" s="11">
        <f>IF(217&lt;=$B$7,E225-D226,"")</f>
        <v/>
      </c>
    </row>
    <row r="227">
      <c r="A227" s="10">
        <f>IF(218&lt;=$B$7,218,"")</f>
        <v/>
      </c>
      <c r="B227" s="11">
        <f>IF(218&lt;=$B$7,$B$6,"")</f>
        <v/>
      </c>
      <c r="C227" s="11">
        <f>IF(218&lt;=$B$7,E226*$B$5/100/12,"")</f>
        <v/>
      </c>
      <c r="D227" s="11">
        <f>IF(218&lt;=$B$7,$B$6-C227,"")</f>
        <v/>
      </c>
      <c r="E227" s="11">
        <f>IF(218&lt;=$B$7,E226-D227,"")</f>
        <v/>
      </c>
    </row>
    <row r="228">
      <c r="A228" s="10">
        <f>IF(219&lt;=$B$7,219,"")</f>
        <v/>
      </c>
      <c r="B228" s="11">
        <f>IF(219&lt;=$B$7,$B$6,"")</f>
        <v/>
      </c>
      <c r="C228" s="11">
        <f>IF(219&lt;=$B$7,E227*$B$5/100/12,"")</f>
        <v/>
      </c>
      <c r="D228" s="11">
        <f>IF(219&lt;=$B$7,$B$6-C228,"")</f>
        <v/>
      </c>
      <c r="E228" s="11">
        <f>IF(219&lt;=$B$7,E227-D228,"")</f>
        <v/>
      </c>
    </row>
    <row r="229">
      <c r="A229" s="10">
        <f>IF(220&lt;=$B$7,220,"")</f>
        <v/>
      </c>
      <c r="B229" s="11">
        <f>IF(220&lt;=$B$7,$B$6,"")</f>
        <v/>
      </c>
      <c r="C229" s="11">
        <f>IF(220&lt;=$B$7,E228*$B$5/100/12,"")</f>
        <v/>
      </c>
      <c r="D229" s="11">
        <f>IF(220&lt;=$B$7,$B$6-C229,"")</f>
        <v/>
      </c>
      <c r="E229" s="11">
        <f>IF(220&lt;=$B$7,E228-D229,"")</f>
        <v/>
      </c>
    </row>
    <row r="230">
      <c r="A230" s="10">
        <f>IF(221&lt;=$B$7,221,"")</f>
        <v/>
      </c>
      <c r="B230" s="11">
        <f>IF(221&lt;=$B$7,$B$6,"")</f>
        <v/>
      </c>
      <c r="C230" s="11">
        <f>IF(221&lt;=$B$7,E229*$B$5/100/12,"")</f>
        <v/>
      </c>
      <c r="D230" s="11">
        <f>IF(221&lt;=$B$7,$B$6-C230,"")</f>
        <v/>
      </c>
      <c r="E230" s="11">
        <f>IF(221&lt;=$B$7,E229-D230,"")</f>
        <v/>
      </c>
    </row>
    <row r="231">
      <c r="A231" s="10">
        <f>IF(222&lt;=$B$7,222,"")</f>
        <v/>
      </c>
      <c r="B231" s="11">
        <f>IF(222&lt;=$B$7,$B$6,"")</f>
        <v/>
      </c>
      <c r="C231" s="11">
        <f>IF(222&lt;=$B$7,E230*$B$5/100/12,"")</f>
        <v/>
      </c>
      <c r="D231" s="11">
        <f>IF(222&lt;=$B$7,$B$6-C231,"")</f>
        <v/>
      </c>
      <c r="E231" s="11">
        <f>IF(222&lt;=$B$7,E230-D231,"")</f>
        <v/>
      </c>
    </row>
    <row r="232">
      <c r="A232" s="10">
        <f>IF(223&lt;=$B$7,223,"")</f>
        <v/>
      </c>
      <c r="B232" s="11">
        <f>IF(223&lt;=$B$7,$B$6,"")</f>
        <v/>
      </c>
      <c r="C232" s="11">
        <f>IF(223&lt;=$B$7,E231*$B$5/100/12,"")</f>
        <v/>
      </c>
      <c r="D232" s="11">
        <f>IF(223&lt;=$B$7,$B$6-C232,"")</f>
        <v/>
      </c>
      <c r="E232" s="11">
        <f>IF(223&lt;=$B$7,E231-D232,"")</f>
        <v/>
      </c>
    </row>
    <row r="233">
      <c r="A233" s="10">
        <f>IF(224&lt;=$B$7,224,"")</f>
        <v/>
      </c>
      <c r="B233" s="11">
        <f>IF(224&lt;=$B$7,$B$6,"")</f>
        <v/>
      </c>
      <c r="C233" s="11">
        <f>IF(224&lt;=$B$7,E232*$B$5/100/12,"")</f>
        <v/>
      </c>
      <c r="D233" s="11">
        <f>IF(224&lt;=$B$7,$B$6-C233,"")</f>
        <v/>
      </c>
      <c r="E233" s="11">
        <f>IF(224&lt;=$B$7,E232-D233,"")</f>
        <v/>
      </c>
    </row>
    <row r="234">
      <c r="A234" s="10">
        <f>IF(225&lt;=$B$7,225,"")</f>
        <v/>
      </c>
      <c r="B234" s="11">
        <f>IF(225&lt;=$B$7,$B$6,"")</f>
        <v/>
      </c>
      <c r="C234" s="11">
        <f>IF(225&lt;=$B$7,E233*$B$5/100/12,"")</f>
        <v/>
      </c>
      <c r="D234" s="11">
        <f>IF(225&lt;=$B$7,$B$6-C234,"")</f>
        <v/>
      </c>
      <c r="E234" s="11">
        <f>IF(225&lt;=$B$7,E233-D234,"")</f>
        <v/>
      </c>
    </row>
    <row r="235">
      <c r="A235" s="10">
        <f>IF(226&lt;=$B$7,226,"")</f>
        <v/>
      </c>
      <c r="B235" s="11">
        <f>IF(226&lt;=$B$7,$B$6,"")</f>
        <v/>
      </c>
      <c r="C235" s="11">
        <f>IF(226&lt;=$B$7,E234*$B$5/100/12,"")</f>
        <v/>
      </c>
      <c r="D235" s="11">
        <f>IF(226&lt;=$B$7,$B$6-C235,"")</f>
        <v/>
      </c>
      <c r="E235" s="11">
        <f>IF(226&lt;=$B$7,E234-D235,"")</f>
        <v/>
      </c>
    </row>
    <row r="236">
      <c r="A236" s="10">
        <f>IF(227&lt;=$B$7,227,"")</f>
        <v/>
      </c>
      <c r="B236" s="11">
        <f>IF(227&lt;=$B$7,$B$6,"")</f>
        <v/>
      </c>
      <c r="C236" s="11">
        <f>IF(227&lt;=$B$7,E235*$B$5/100/12,"")</f>
        <v/>
      </c>
      <c r="D236" s="11">
        <f>IF(227&lt;=$B$7,$B$6-C236,"")</f>
        <v/>
      </c>
      <c r="E236" s="11">
        <f>IF(227&lt;=$B$7,E235-D236,"")</f>
        <v/>
      </c>
    </row>
    <row r="237">
      <c r="A237" s="10">
        <f>IF(228&lt;=$B$7,228,"")</f>
        <v/>
      </c>
      <c r="B237" s="11">
        <f>IF(228&lt;=$B$7,$B$6,"")</f>
        <v/>
      </c>
      <c r="C237" s="11">
        <f>IF(228&lt;=$B$7,E236*$B$5/100/12,"")</f>
        <v/>
      </c>
      <c r="D237" s="11">
        <f>IF(228&lt;=$B$7,$B$6-C237,"")</f>
        <v/>
      </c>
      <c r="E237" s="11">
        <f>IF(228&lt;=$B$7,E236-D237,"")</f>
        <v/>
      </c>
    </row>
    <row r="238">
      <c r="A238" s="10">
        <f>IF(229&lt;=$B$7,229,"")</f>
        <v/>
      </c>
      <c r="B238" s="11">
        <f>IF(229&lt;=$B$7,$B$6,"")</f>
        <v/>
      </c>
      <c r="C238" s="11">
        <f>IF(229&lt;=$B$7,E237*$B$5/100/12,"")</f>
        <v/>
      </c>
      <c r="D238" s="11">
        <f>IF(229&lt;=$B$7,$B$6-C238,"")</f>
        <v/>
      </c>
      <c r="E238" s="11">
        <f>IF(229&lt;=$B$7,E237-D238,"")</f>
        <v/>
      </c>
    </row>
    <row r="239">
      <c r="A239" s="10">
        <f>IF(230&lt;=$B$7,230,"")</f>
        <v/>
      </c>
      <c r="B239" s="11">
        <f>IF(230&lt;=$B$7,$B$6,"")</f>
        <v/>
      </c>
      <c r="C239" s="11">
        <f>IF(230&lt;=$B$7,E238*$B$5/100/12,"")</f>
        <v/>
      </c>
      <c r="D239" s="11">
        <f>IF(230&lt;=$B$7,$B$6-C239,"")</f>
        <v/>
      </c>
      <c r="E239" s="11">
        <f>IF(230&lt;=$B$7,E238-D239,"")</f>
        <v/>
      </c>
    </row>
    <row r="240">
      <c r="A240" s="10">
        <f>IF(231&lt;=$B$7,231,"")</f>
        <v/>
      </c>
      <c r="B240" s="11">
        <f>IF(231&lt;=$B$7,$B$6,"")</f>
        <v/>
      </c>
      <c r="C240" s="11">
        <f>IF(231&lt;=$B$7,E239*$B$5/100/12,"")</f>
        <v/>
      </c>
      <c r="D240" s="11">
        <f>IF(231&lt;=$B$7,$B$6-C240,"")</f>
        <v/>
      </c>
      <c r="E240" s="11">
        <f>IF(231&lt;=$B$7,E239-D240,"")</f>
        <v/>
      </c>
    </row>
    <row r="241">
      <c r="A241" s="10">
        <f>IF(232&lt;=$B$7,232,"")</f>
        <v/>
      </c>
      <c r="B241" s="11">
        <f>IF(232&lt;=$B$7,$B$6,"")</f>
        <v/>
      </c>
      <c r="C241" s="11">
        <f>IF(232&lt;=$B$7,E240*$B$5/100/12,"")</f>
        <v/>
      </c>
      <c r="D241" s="11">
        <f>IF(232&lt;=$B$7,$B$6-C241,"")</f>
        <v/>
      </c>
      <c r="E241" s="11">
        <f>IF(232&lt;=$B$7,E240-D241,"")</f>
        <v/>
      </c>
    </row>
    <row r="242">
      <c r="A242" s="10">
        <f>IF(233&lt;=$B$7,233,"")</f>
        <v/>
      </c>
      <c r="B242" s="11">
        <f>IF(233&lt;=$B$7,$B$6,"")</f>
        <v/>
      </c>
      <c r="C242" s="11">
        <f>IF(233&lt;=$B$7,E241*$B$5/100/12,"")</f>
        <v/>
      </c>
      <c r="D242" s="11">
        <f>IF(233&lt;=$B$7,$B$6-C242,"")</f>
        <v/>
      </c>
      <c r="E242" s="11">
        <f>IF(233&lt;=$B$7,E241-D242,"")</f>
        <v/>
      </c>
    </row>
    <row r="243">
      <c r="A243" s="10">
        <f>IF(234&lt;=$B$7,234,"")</f>
        <v/>
      </c>
      <c r="B243" s="11">
        <f>IF(234&lt;=$B$7,$B$6,"")</f>
        <v/>
      </c>
      <c r="C243" s="11">
        <f>IF(234&lt;=$B$7,E242*$B$5/100/12,"")</f>
        <v/>
      </c>
      <c r="D243" s="11">
        <f>IF(234&lt;=$B$7,$B$6-C243,"")</f>
        <v/>
      </c>
      <c r="E243" s="11">
        <f>IF(234&lt;=$B$7,E242-D243,"")</f>
        <v/>
      </c>
    </row>
    <row r="244">
      <c r="A244" s="10">
        <f>IF(235&lt;=$B$7,235,"")</f>
        <v/>
      </c>
      <c r="B244" s="11">
        <f>IF(235&lt;=$B$7,$B$6,"")</f>
        <v/>
      </c>
      <c r="C244" s="11">
        <f>IF(235&lt;=$B$7,E243*$B$5/100/12,"")</f>
        <v/>
      </c>
      <c r="D244" s="11">
        <f>IF(235&lt;=$B$7,$B$6-C244,"")</f>
        <v/>
      </c>
      <c r="E244" s="11">
        <f>IF(235&lt;=$B$7,E243-D244,"")</f>
        <v/>
      </c>
    </row>
    <row r="245">
      <c r="A245" s="10">
        <f>IF(236&lt;=$B$7,236,"")</f>
        <v/>
      </c>
      <c r="B245" s="11">
        <f>IF(236&lt;=$B$7,$B$6,"")</f>
        <v/>
      </c>
      <c r="C245" s="11">
        <f>IF(236&lt;=$B$7,E244*$B$5/100/12,"")</f>
        <v/>
      </c>
      <c r="D245" s="11">
        <f>IF(236&lt;=$B$7,$B$6-C245,"")</f>
        <v/>
      </c>
      <c r="E245" s="11">
        <f>IF(236&lt;=$B$7,E244-D245,"")</f>
        <v/>
      </c>
    </row>
    <row r="246">
      <c r="A246" s="10">
        <f>IF(237&lt;=$B$7,237,"")</f>
        <v/>
      </c>
      <c r="B246" s="11">
        <f>IF(237&lt;=$B$7,$B$6,"")</f>
        <v/>
      </c>
      <c r="C246" s="11">
        <f>IF(237&lt;=$B$7,E245*$B$5/100/12,"")</f>
        <v/>
      </c>
      <c r="D246" s="11">
        <f>IF(237&lt;=$B$7,$B$6-C246,"")</f>
        <v/>
      </c>
      <c r="E246" s="11">
        <f>IF(237&lt;=$B$7,E245-D246,"")</f>
        <v/>
      </c>
    </row>
    <row r="247">
      <c r="A247" s="10">
        <f>IF(238&lt;=$B$7,238,"")</f>
        <v/>
      </c>
      <c r="B247" s="11">
        <f>IF(238&lt;=$B$7,$B$6,"")</f>
        <v/>
      </c>
      <c r="C247" s="11">
        <f>IF(238&lt;=$B$7,E246*$B$5/100/12,"")</f>
        <v/>
      </c>
      <c r="D247" s="11">
        <f>IF(238&lt;=$B$7,$B$6-C247,"")</f>
        <v/>
      </c>
      <c r="E247" s="11">
        <f>IF(238&lt;=$B$7,E246-D247,"")</f>
        <v/>
      </c>
    </row>
    <row r="248">
      <c r="A248" s="10">
        <f>IF(239&lt;=$B$7,239,"")</f>
        <v/>
      </c>
      <c r="B248" s="11">
        <f>IF(239&lt;=$B$7,$B$6,"")</f>
        <v/>
      </c>
      <c r="C248" s="11">
        <f>IF(239&lt;=$B$7,E247*$B$5/100/12,"")</f>
        <v/>
      </c>
      <c r="D248" s="11">
        <f>IF(239&lt;=$B$7,$B$6-C248,"")</f>
        <v/>
      </c>
      <c r="E248" s="11">
        <f>IF(239&lt;=$B$7,E247-D248,"")</f>
        <v/>
      </c>
    </row>
    <row r="249">
      <c r="A249" s="10">
        <f>IF(240&lt;=$B$7,240,"")</f>
        <v/>
      </c>
      <c r="B249" s="11">
        <f>IF(240&lt;=$B$7,$B$6,"")</f>
        <v/>
      </c>
      <c r="C249" s="11">
        <f>IF(240&lt;=$B$7,E248*$B$5/100/12,"")</f>
        <v/>
      </c>
      <c r="D249" s="11">
        <f>IF(240&lt;=$B$7,$B$6-C249,"")</f>
        <v/>
      </c>
      <c r="E249" s="11">
        <f>IF(240&lt;=$B$7,E248-D249,"")</f>
        <v/>
      </c>
    </row>
    <row r="250">
      <c r="A250" s="10">
        <f>IF(241&lt;=$B$7,241,"")</f>
        <v/>
      </c>
      <c r="B250" s="11">
        <f>IF(241&lt;=$B$7,$B$6,"")</f>
        <v/>
      </c>
      <c r="C250" s="11">
        <f>IF(241&lt;=$B$7,E249*$B$5/100/12,"")</f>
        <v/>
      </c>
      <c r="D250" s="11">
        <f>IF(241&lt;=$B$7,$B$6-C250,"")</f>
        <v/>
      </c>
      <c r="E250" s="11">
        <f>IF(241&lt;=$B$7,E249-D250,"")</f>
        <v/>
      </c>
    </row>
    <row r="251">
      <c r="A251" s="10">
        <f>IF(242&lt;=$B$7,242,"")</f>
        <v/>
      </c>
      <c r="B251" s="11">
        <f>IF(242&lt;=$B$7,$B$6,"")</f>
        <v/>
      </c>
      <c r="C251" s="11">
        <f>IF(242&lt;=$B$7,E250*$B$5/100/12,"")</f>
        <v/>
      </c>
      <c r="D251" s="11">
        <f>IF(242&lt;=$B$7,$B$6-C251,"")</f>
        <v/>
      </c>
      <c r="E251" s="11">
        <f>IF(242&lt;=$B$7,E250-D251,"")</f>
        <v/>
      </c>
    </row>
    <row r="252">
      <c r="A252" s="10">
        <f>IF(243&lt;=$B$7,243,"")</f>
        <v/>
      </c>
      <c r="B252" s="11">
        <f>IF(243&lt;=$B$7,$B$6,"")</f>
        <v/>
      </c>
      <c r="C252" s="11">
        <f>IF(243&lt;=$B$7,E251*$B$5/100/12,"")</f>
        <v/>
      </c>
      <c r="D252" s="11">
        <f>IF(243&lt;=$B$7,$B$6-C252,"")</f>
        <v/>
      </c>
      <c r="E252" s="11">
        <f>IF(243&lt;=$B$7,E251-D252,"")</f>
        <v/>
      </c>
    </row>
    <row r="253">
      <c r="A253" s="10">
        <f>IF(244&lt;=$B$7,244,"")</f>
        <v/>
      </c>
      <c r="B253" s="11">
        <f>IF(244&lt;=$B$7,$B$6,"")</f>
        <v/>
      </c>
      <c r="C253" s="11">
        <f>IF(244&lt;=$B$7,E252*$B$5/100/12,"")</f>
        <v/>
      </c>
      <c r="D253" s="11">
        <f>IF(244&lt;=$B$7,$B$6-C253,"")</f>
        <v/>
      </c>
      <c r="E253" s="11">
        <f>IF(244&lt;=$B$7,E252-D253,"")</f>
        <v/>
      </c>
    </row>
    <row r="254">
      <c r="A254" s="10">
        <f>IF(245&lt;=$B$7,245,"")</f>
        <v/>
      </c>
      <c r="B254" s="11">
        <f>IF(245&lt;=$B$7,$B$6,"")</f>
        <v/>
      </c>
      <c r="C254" s="11">
        <f>IF(245&lt;=$B$7,E253*$B$5/100/12,"")</f>
        <v/>
      </c>
      <c r="D254" s="11">
        <f>IF(245&lt;=$B$7,$B$6-C254,"")</f>
        <v/>
      </c>
      <c r="E254" s="11">
        <f>IF(245&lt;=$B$7,E253-D254,"")</f>
        <v/>
      </c>
    </row>
    <row r="255">
      <c r="A255" s="10">
        <f>IF(246&lt;=$B$7,246,"")</f>
        <v/>
      </c>
      <c r="B255" s="11">
        <f>IF(246&lt;=$B$7,$B$6,"")</f>
        <v/>
      </c>
      <c r="C255" s="11">
        <f>IF(246&lt;=$B$7,E254*$B$5/100/12,"")</f>
        <v/>
      </c>
      <c r="D255" s="11">
        <f>IF(246&lt;=$B$7,$B$6-C255,"")</f>
        <v/>
      </c>
      <c r="E255" s="11">
        <f>IF(246&lt;=$B$7,E254-D255,"")</f>
        <v/>
      </c>
    </row>
    <row r="256">
      <c r="A256" s="10">
        <f>IF(247&lt;=$B$7,247,"")</f>
        <v/>
      </c>
      <c r="B256" s="11">
        <f>IF(247&lt;=$B$7,$B$6,"")</f>
        <v/>
      </c>
      <c r="C256" s="11">
        <f>IF(247&lt;=$B$7,E255*$B$5/100/12,"")</f>
        <v/>
      </c>
      <c r="D256" s="11">
        <f>IF(247&lt;=$B$7,$B$6-C256,"")</f>
        <v/>
      </c>
      <c r="E256" s="11">
        <f>IF(247&lt;=$B$7,E255-D256,"")</f>
        <v/>
      </c>
    </row>
    <row r="257">
      <c r="A257" s="10">
        <f>IF(248&lt;=$B$7,248,"")</f>
        <v/>
      </c>
      <c r="B257" s="11">
        <f>IF(248&lt;=$B$7,$B$6,"")</f>
        <v/>
      </c>
      <c r="C257" s="11">
        <f>IF(248&lt;=$B$7,E256*$B$5/100/12,"")</f>
        <v/>
      </c>
      <c r="D257" s="11">
        <f>IF(248&lt;=$B$7,$B$6-C257,"")</f>
        <v/>
      </c>
      <c r="E257" s="11">
        <f>IF(248&lt;=$B$7,E256-D257,"")</f>
        <v/>
      </c>
    </row>
    <row r="258">
      <c r="A258" s="10">
        <f>IF(249&lt;=$B$7,249,"")</f>
        <v/>
      </c>
      <c r="B258" s="11">
        <f>IF(249&lt;=$B$7,$B$6,"")</f>
        <v/>
      </c>
      <c r="C258" s="11">
        <f>IF(249&lt;=$B$7,E257*$B$5/100/12,"")</f>
        <v/>
      </c>
      <c r="D258" s="11">
        <f>IF(249&lt;=$B$7,$B$6-C258,"")</f>
        <v/>
      </c>
      <c r="E258" s="11">
        <f>IF(249&lt;=$B$7,E257-D258,"")</f>
        <v/>
      </c>
    </row>
    <row r="259">
      <c r="A259" s="10">
        <f>IF(250&lt;=$B$7,250,"")</f>
        <v/>
      </c>
      <c r="B259" s="11">
        <f>IF(250&lt;=$B$7,$B$6,"")</f>
        <v/>
      </c>
      <c r="C259" s="11">
        <f>IF(250&lt;=$B$7,E258*$B$5/100/12,"")</f>
        <v/>
      </c>
      <c r="D259" s="11">
        <f>IF(250&lt;=$B$7,$B$6-C259,"")</f>
        <v/>
      </c>
      <c r="E259" s="11">
        <f>IF(250&lt;=$B$7,E258-D259,"")</f>
        <v/>
      </c>
    </row>
    <row r="260">
      <c r="A260" s="10">
        <f>IF(251&lt;=$B$7,251,"")</f>
        <v/>
      </c>
      <c r="B260" s="11">
        <f>IF(251&lt;=$B$7,$B$6,"")</f>
        <v/>
      </c>
      <c r="C260" s="11">
        <f>IF(251&lt;=$B$7,E259*$B$5/100/12,"")</f>
        <v/>
      </c>
      <c r="D260" s="11">
        <f>IF(251&lt;=$B$7,$B$6-C260,"")</f>
        <v/>
      </c>
      <c r="E260" s="11">
        <f>IF(251&lt;=$B$7,E259-D260,"")</f>
        <v/>
      </c>
    </row>
    <row r="261">
      <c r="A261" s="10">
        <f>IF(252&lt;=$B$7,252,"")</f>
        <v/>
      </c>
      <c r="B261" s="11">
        <f>IF(252&lt;=$B$7,$B$6,"")</f>
        <v/>
      </c>
      <c r="C261" s="11">
        <f>IF(252&lt;=$B$7,E260*$B$5/100/12,"")</f>
        <v/>
      </c>
      <c r="D261" s="11">
        <f>IF(252&lt;=$B$7,$B$6-C261,"")</f>
        <v/>
      </c>
      <c r="E261" s="11">
        <f>IF(252&lt;=$B$7,E260-D261,"")</f>
        <v/>
      </c>
    </row>
    <row r="262">
      <c r="A262" s="10">
        <f>IF(253&lt;=$B$7,253,"")</f>
        <v/>
      </c>
      <c r="B262" s="11">
        <f>IF(253&lt;=$B$7,$B$6,"")</f>
        <v/>
      </c>
      <c r="C262" s="11">
        <f>IF(253&lt;=$B$7,E261*$B$5/100/12,"")</f>
        <v/>
      </c>
      <c r="D262" s="11">
        <f>IF(253&lt;=$B$7,$B$6-C262,"")</f>
        <v/>
      </c>
      <c r="E262" s="11">
        <f>IF(253&lt;=$B$7,E261-D262,"")</f>
        <v/>
      </c>
    </row>
    <row r="263">
      <c r="A263" s="10">
        <f>IF(254&lt;=$B$7,254,"")</f>
        <v/>
      </c>
      <c r="B263" s="11">
        <f>IF(254&lt;=$B$7,$B$6,"")</f>
        <v/>
      </c>
      <c r="C263" s="11">
        <f>IF(254&lt;=$B$7,E262*$B$5/100/12,"")</f>
        <v/>
      </c>
      <c r="D263" s="11">
        <f>IF(254&lt;=$B$7,$B$6-C263,"")</f>
        <v/>
      </c>
      <c r="E263" s="11">
        <f>IF(254&lt;=$B$7,E262-D263,"")</f>
        <v/>
      </c>
    </row>
    <row r="264">
      <c r="A264" s="10">
        <f>IF(255&lt;=$B$7,255,"")</f>
        <v/>
      </c>
      <c r="B264" s="11">
        <f>IF(255&lt;=$B$7,$B$6,"")</f>
        <v/>
      </c>
      <c r="C264" s="11">
        <f>IF(255&lt;=$B$7,E263*$B$5/100/12,"")</f>
        <v/>
      </c>
      <c r="D264" s="11">
        <f>IF(255&lt;=$B$7,$B$6-C264,"")</f>
        <v/>
      </c>
      <c r="E264" s="11">
        <f>IF(255&lt;=$B$7,E263-D264,"")</f>
        <v/>
      </c>
    </row>
    <row r="265">
      <c r="A265" s="10">
        <f>IF(256&lt;=$B$7,256,"")</f>
        <v/>
      </c>
      <c r="B265" s="11">
        <f>IF(256&lt;=$B$7,$B$6,"")</f>
        <v/>
      </c>
      <c r="C265" s="11">
        <f>IF(256&lt;=$B$7,E264*$B$5/100/12,"")</f>
        <v/>
      </c>
      <c r="D265" s="11">
        <f>IF(256&lt;=$B$7,$B$6-C265,"")</f>
        <v/>
      </c>
      <c r="E265" s="11">
        <f>IF(256&lt;=$B$7,E264-D265,"")</f>
        <v/>
      </c>
    </row>
    <row r="266">
      <c r="A266" s="10">
        <f>IF(257&lt;=$B$7,257,"")</f>
        <v/>
      </c>
      <c r="B266" s="11">
        <f>IF(257&lt;=$B$7,$B$6,"")</f>
        <v/>
      </c>
      <c r="C266" s="11">
        <f>IF(257&lt;=$B$7,E265*$B$5/100/12,"")</f>
        <v/>
      </c>
      <c r="D266" s="11">
        <f>IF(257&lt;=$B$7,$B$6-C266,"")</f>
        <v/>
      </c>
      <c r="E266" s="11">
        <f>IF(257&lt;=$B$7,E265-D266,"")</f>
        <v/>
      </c>
    </row>
    <row r="267">
      <c r="A267" s="10">
        <f>IF(258&lt;=$B$7,258,"")</f>
        <v/>
      </c>
      <c r="B267" s="11">
        <f>IF(258&lt;=$B$7,$B$6,"")</f>
        <v/>
      </c>
      <c r="C267" s="11">
        <f>IF(258&lt;=$B$7,E266*$B$5/100/12,"")</f>
        <v/>
      </c>
      <c r="D267" s="11">
        <f>IF(258&lt;=$B$7,$B$6-C267,"")</f>
        <v/>
      </c>
      <c r="E267" s="11">
        <f>IF(258&lt;=$B$7,E266-D267,"")</f>
        <v/>
      </c>
    </row>
    <row r="268">
      <c r="A268" s="10">
        <f>IF(259&lt;=$B$7,259,"")</f>
        <v/>
      </c>
      <c r="B268" s="11">
        <f>IF(259&lt;=$B$7,$B$6,"")</f>
        <v/>
      </c>
      <c r="C268" s="11">
        <f>IF(259&lt;=$B$7,E267*$B$5/100/12,"")</f>
        <v/>
      </c>
      <c r="D268" s="11">
        <f>IF(259&lt;=$B$7,$B$6-C268,"")</f>
        <v/>
      </c>
      <c r="E268" s="11">
        <f>IF(259&lt;=$B$7,E267-D268,"")</f>
        <v/>
      </c>
    </row>
    <row r="269">
      <c r="A269" s="10">
        <f>IF(260&lt;=$B$7,260,"")</f>
        <v/>
      </c>
      <c r="B269" s="11">
        <f>IF(260&lt;=$B$7,$B$6,"")</f>
        <v/>
      </c>
      <c r="C269" s="11">
        <f>IF(260&lt;=$B$7,E268*$B$5/100/12,"")</f>
        <v/>
      </c>
      <c r="D269" s="11">
        <f>IF(260&lt;=$B$7,$B$6-C269,"")</f>
        <v/>
      </c>
      <c r="E269" s="11">
        <f>IF(260&lt;=$B$7,E268-D269,"")</f>
        <v/>
      </c>
    </row>
    <row r="270">
      <c r="A270" s="10">
        <f>IF(261&lt;=$B$7,261,"")</f>
        <v/>
      </c>
      <c r="B270" s="11">
        <f>IF(261&lt;=$B$7,$B$6,"")</f>
        <v/>
      </c>
      <c r="C270" s="11">
        <f>IF(261&lt;=$B$7,E269*$B$5/100/12,"")</f>
        <v/>
      </c>
      <c r="D270" s="11">
        <f>IF(261&lt;=$B$7,$B$6-C270,"")</f>
        <v/>
      </c>
      <c r="E270" s="11">
        <f>IF(261&lt;=$B$7,E269-D270,"")</f>
        <v/>
      </c>
    </row>
    <row r="271">
      <c r="A271" s="10">
        <f>IF(262&lt;=$B$7,262,"")</f>
        <v/>
      </c>
      <c r="B271" s="11">
        <f>IF(262&lt;=$B$7,$B$6,"")</f>
        <v/>
      </c>
      <c r="C271" s="11">
        <f>IF(262&lt;=$B$7,E270*$B$5/100/12,"")</f>
        <v/>
      </c>
      <c r="D271" s="11">
        <f>IF(262&lt;=$B$7,$B$6-C271,"")</f>
        <v/>
      </c>
      <c r="E271" s="11">
        <f>IF(262&lt;=$B$7,E270-D271,"")</f>
        <v/>
      </c>
    </row>
    <row r="272">
      <c r="A272" s="10">
        <f>IF(263&lt;=$B$7,263,"")</f>
        <v/>
      </c>
      <c r="B272" s="11">
        <f>IF(263&lt;=$B$7,$B$6,"")</f>
        <v/>
      </c>
      <c r="C272" s="11">
        <f>IF(263&lt;=$B$7,E271*$B$5/100/12,"")</f>
        <v/>
      </c>
      <c r="D272" s="11">
        <f>IF(263&lt;=$B$7,$B$6-C272,"")</f>
        <v/>
      </c>
      <c r="E272" s="11">
        <f>IF(263&lt;=$B$7,E271-D272,"")</f>
        <v/>
      </c>
    </row>
    <row r="273">
      <c r="A273" s="10">
        <f>IF(264&lt;=$B$7,264,"")</f>
        <v/>
      </c>
      <c r="B273" s="11">
        <f>IF(264&lt;=$B$7,$B$6,"")</f>
        <v/>
      </c>
      <c r="C273" s="11">
        <f>IF(264&lt;=$B$7,E272*$B$5/100/12,"")</f>
        <v/>
      </c>
      <c r="D273" s="11">
        <f>IF(264&lt;=$B$7,$B$6-C273,"")</f>
        <v/>
      </c>
      <c r="E273" s="11">
        <f>IF(264&lt;=$B$7,E272-D273,"")</f>
        <v/>
      </c>
    </row>
    <row r="274">
      <c r="A274" s="10">
        <f>IF(265&lt;=$B$7,265,"")</f>
        <v/>
      </c>
      <c r="B274" s="11">
        <f>IF(265&lt;=$B$7,$B$6,"")</f>
        <v/>
      </c>
      <c r="C274" s="11">
        <f>IF(265&lt;=$B$7,E273*$B$5/100/12,"")</f>
        <v/>
      </c>
      <c r="D274" s="11">
        <f>IF(265&lt;=$B$7,$B$6-C274,"")</f>
        <v/>
      </c>
      <c r="E274" s="11">
        <f>IF(265&lt;=$B$7,E273-D274,"")</f>
        <v/>
      </c>
    </row>
    <row r="275">
      <c r="A275" s="10">
        <f>IF(266&lt;=$B$7,266,"")</f>
        <v/>
      </c>
      <c r="B275" s="11">
        <f>IF(266&lt;=$B$7,$B$6,"")</f>
        <v/>
      </c>
      <c r="C275" s="11">
        <f>IF(266&lt;=$B$7,E274*$B$5/100/12,"")</f>
        <v/>
      </c>
      <c r="D275" s="11">
        <f>IF(266&lt;=$B$7,$B$6-C275,"")</f>
        <v/>
      </c>
      <c r="E275" s="11">
        <f>IF(266&lt;=$B$7,E274-D275,"")</f>
        <v/>
      </c>
    </row>
    <row r="276">
      <c r="A276" s="10">
        <f>IF(267&lt;=$B$7,267,"")</f>
        <v/>
      </c>
      <c r="B276" s="11">
        <f>IF(267&lt;=$B$7,$B$6,"")</f>
        <v/>
      </c>
      <c r="C276" s="11">
        <f>IF(267&lt;=$B$7,E275*$B$5/100/12,"")</f>
        <v/>
      </c>
      <c r="D276" s="11">
        <f>IF(267&lt;=$B$7,$B$6-C276,"")</f>
        <v/>
      </c>
      <c r="E276" s="11">
        <f>IF(267&lt;=$B$7,E275-D276,"")</f>
        <v/>
      </c>
    </row>
    <row r="277">
      <c r="A277" s="10">
        <f>IF(268&lt;=$B$7,268,"")</f>
        <v/>
      </c>
      <c r="B277" s="11">
        <f>IF(268&lt;=$B$7,$B$6,"")</f>
        <v/>
      </c>
      <c r="C277" s="11">
        <f>IF(268&lt;=$B$7,E276*$B$5/100/12,"")</f>
        <v/>
      </c>
      <c r="D277" s="11">
        <f>IF(268&lt;=$B$7,$B$6-C277,"")</f>
        <v/>
      </c>
      <c r="E277" s="11">
        <f>IF(268&lt;=$B$7,E276-D277,"")</f>
        <v/>
      </c>
    </row>
    <row r="278">
      <c r="A278" s="10">
        <f>IF(269&lt;=$B$7,269,"")</f>
        <v/>
      </c>
      <c r="B278" s="11">
        <f>IF(269&lt;=$B$7,$B$6,"")</f>
        <v/>
      </c>
      <c r="C278" s="11">
        <f>IF(269&lt;=$B$7,E277*$B$5/100/12,"")</f>
        <v/>
      </c>
      <c r="D278" s="11">
        <f>IF(269&lt;=$B$7,$B$6-C278,"")</f>
        <v/>
      </c>
      <c r="E278" s="11">
        <f>IF(269&lt;=$B$7,E277-D278,"")</f>
        <v/>
      </c>
    </row>
    <row r="279">
      <c r="A279" s="10">
        <f>IF(270&lt;=$B$7,270,"")</f>
        <v/>
      </c>
      <c r="B279" s="11">
        <f>IF(270&lt;=$B$7,$B$6,"")</f>
        <v/>
      </c>
      <c r="C279" s="11">
        <f>IF(270&lt;=$B$7,E278*$B$5/100/12,"")</f>
        <v/>
      </c>
      <c r="D279" s="11">
        <f>IF(270&lt;=$B$7,$B$6-C279,"")</f>
        <v/>
      </c>
      <c r="E279" s="11">
        <f>IF(270&lt;=$B$7,E278-D279,"")</f>
        <v/>
      </c>
    </row>
    <row r="280">
      <c r="A280" s="10">
        <f>IF(271&lt;=$B$7,271,"")</f>
        <v/>
      </c>
      <c r="B280" s="11">
        <f>IF(271&lt;=$B$7,$B$6,"")</f>
        <v/>
      </c>
      <c r="C280" s="11">
        <f>IF(271&lt;=$B$7,E279*$B$5/100/12,"")</f>
        <v/>
      </c>
      <c r="D280" s="11">
        <f>IF(271&lt;=$B$7,$B$6-C280,"")</f>
        <v/>
      </c>
      <c r="E280" s="11">
        <f>IF(271&lt;=$B$7,E279-D280,"")</f>
        <v/>
      </c>
    </row>
    <row r="281">
      <c r="A281" s="10">
        <f>IF(272&lt;=$B$7,272,"")</f>
        <v/>
      </c>
      <c r="B281" s="11">
        <f>IF(272&lt;=$B$7,$B$6,"")</f>
        <v/>
      </c>
      <c r="C281" s="11">
        <f>IF(272&lt;=$B$7,E280*$B$5/100/12,"")</f>
        <v/>
      </c>
      <c r="D281" s="11">
        <f>IF(272&lt;=$B$7,$B$6-C281,"")</f>
        <v/>
      </c>
      <c r="E281" s="11">
        <f>IF(272&lt;=$B$7,E280-D281,"")</f>
        <v/>
      </c>
    </row>
    <row r="282">
      <c r="A282" s="10">
        <f>IF(273&lt;=$B$7,273,"")</f>
        <v/>
      </c>
      <c r="B282" s="11">
        <f>IF(273&lt;=$B$7,$B$6,"")</f>
        <v/>
      </c>
      <c r="C282" s="11">
        <f>IF(273&lt;=$B$7,E281*$B$5/100/12,"")</f>
        <v/>
      </c>
      <c r="D282" s="11">
        <f>IF(273&lt;=$B$7,$B$6-C282,"")</f>
        <v/>
      </c>
      <c r="E282" s="11">
        <f>IF(273&lt;=$B$7,E281-D282,"")</f>
        <v/>
      </c>
    </row>
    <row r="283">
      <c r="A283" s="10">
        <f>IF(274&lt;=$B$7,274,"")</f>
        <v/>
      </c>
      <c r="B283" s="11">
        <f>IF(274&lt;=$B$7,$B$6,"")</f>
        <v/>
      </c>
      <c r="C283" s="11">
        <f>IF(274&lt;=$B$7,E282*$B$5/100/12,"")</f>
        <v/>
      </c>
      <c r="D283" s="11">
        <f>IF(274&lt;=$B$7,$B$6-C283,"")</f>
        <v/>
      </c>
      <c r="E283" s="11">
        <f>IF(274&lt;=$B$7,E282-D283,"")</f>
        <v/>
      </c>
    </row>
    <row r="284">
      <c r="A284" s="10">
        <f>IF(275&lt;=$B$7,275,"")</f>
        <v/>
      </c>
      <c r="B284" s="11">
        <f>IF(275&lt;=$B$7,$B$6,"")</f>
        <v/>
      </c>
      <c r="C284" s="11">
        <f>IF(275&lt;=$B$7,E283*$B$5/100/12,"")</f>
        <v/>
      </c>
      <c r="D284" s="11">
        <f>IF(275&lt;=$B$7,$B$6-C284,"")</f>
        <v/>
      </c>
      <c r="E284" s="11">
        <f>IF(275&lt;=$B$7,E283-D284,"")</f>
        <v/>
      </c>
    </row>
    <row r="285">
      <c r="A285" s="10">
        <f>IF(276&lt;=$B$7,276,"")</f>
        <v/>
      </c>
      <c r="B285" s="11">
        <f>IF(276&lt;=$B$7,$B$6,"")</f>
        <v/>
      </c>
      <c r="C285" s="11">
        <f>IF(276&lt;=$B$7,E284*$B$5/100/12,"")</f>
        <v/>
      </c>
      <c r="D285" s="11">
        <f>IF(276&lt;=$B$7,$B$6-C285,"")</f>
        <v/>
      </c>
      <c r="E285" s="11">
        <f>IF(276&lt;=$B$7,E284-D285,"")</f>
        <v/>
      </c>
    </row>
    <row r="286">
      <c r="A286" s="10">
        <f>IF(277&lt;=$B$7,277,"")</f>
        <v/>
      </c>
      <c r="B286" s="11">
        <f>IF(277&lt;=$B$7,$B$6,"")</f>
        <v/>
      </c>
      <c r="C286" s="11">
        <f>IF(277&lt;=$B$7,E285*$B$5/100/12,"")</f>
        <v/>
      </c>
      <c r="D286" s="11">
        <f>IF(277&lt;=$B$7,$B$6-C286,"")</f>
        <v/>
      </c>
      <c r="E286" s="11">
        <f>IF(277&lt;=$B$7,E285-D286,"")</f>
        <v/>
      </c>
    </row>
    <row r="287">
      <c r="A287" s="10">
        <f>IF(278&lt;=$B$7,278,"")</f>
        <v/>
      </c>
      <c r="B287" s="11">
        <f>IF(278&lt;=$B$7,$B$6,"")</f>
        <v/>
      </c>
      <c r="C287" s="11">
        <f>IF(278&lt;=$B$7,E286*$B$5/100/12,"")</f>
        <v/>
      </c>
      <c r="D287" s="11">
        <f>IF(278&lt;=$B$7,$B$6-C287,"")</f>
        <v/>
      </c>
      <c r="E287" s="11">
        <f>IF(278&lt;=$B$7,E286-D287,"")</f>
        <v/>
      </c>
    </row>
    <row r="288">
      <c r="A288" s="10">
        <f>IF(279&lt;=$B$7,279,"")</f>
        <v/>
      </c>
      <c r="B288" s="11">
        <f>IF(279&lt;=$B$7,$B$6,"")</f>
        <v/>
      </c>
      <c r="C288" s="11">
        <f>IF(279&lt;=$B$7,E287*$B$5/100/12,"")</f>
        <v/>
      </c>
      <c r="D288" s="11">
        <f>IF(279&lt;=$B$7,$B$6-C288,"")</f>
        <v/>
      </c>
      <c r="E288" s="11">
        <f>IF(279&lt;=$B$7,E287-D288,"")</f>
        <v/>
      </c>
    </row>
    <row r="289">
      <c r="A289" s="10">
        <f>IF(280&lt;=$B$7,280,"")</f>
        <v/>
      </c>
      <c r="B289" s="11">
        <f>IF(280&lt;=$B$7,$B$6,"")</f>
        <v/>
      </c>
      <c r="C289" s="11">
        <f>IF(280&lt;=$B$7,E288*$B$5/100/12,"")</f>
        <v/>
      </c>
      <c r="D289" s="11">
        <f>IF(280&lt;=$B$7,$B$6-C289,"")</f>
        <v/>
      </c>
      <c r="E289" s="11">
        <f>IF(280&lt;=$B$7,E288-D289,"")</f>
        <v/>
      </c>
    </row>
    <row r="290">
      <c r="A290" s="10">
        <f>IF(281&lt;=$B$7,281,"")</f>
        <v/>
      </c>
      <c r="B290" s="11">
        <f>IF(281&lt;=$B$7,$B$6,"")</f>
        <v/>
      </c>
      <c r="C290" s="11">
        <f>IF(281&lt;=$B$7,E289*$B$5/100/12,"")</f>
        <v/>
      </c>
      <c r="D290" s="11">
        <f>IF(281&lt;=$B$7,$B$6-C290,"")</f>
        <v/>
      </c>
      <c r="E290" s="11">
        <f>IF(281&lt;=$B$7,E289-D290,"")</f>
        <v/>
      </c>
    </row>
    <row r="291">
      <c r="A291" s="10">
        <f>IF(282&lt;=$B$7,282,"")</f>
        <v/>
      </c>
      <c r="B291" s="11">
        <f>IF(282&lt;=$B$7,$B$6,"")</f>
        <v/>
      </c>
      <c r="C291" s="11">
        <f>IF(282&lt;=$B$7,E290*$B$5/100/12,"")</f>
        <v/>
      </c>
      <c r="D291" s="11">
        <f>IF(282&lt;=$B$7,$B$6-C291,"")</f>
        <v/>
      </c>
      <c r="E291" s="11">
        <f>IF(282&lt;=$B$7,E290-D291,"")</f>
        <v/>
      </c>
    </row>
    <row r="292">
      <c r="A292" s="10">
        <f>IF(283&lt;=$B$7,283,"")</f>
        <v/>
      </c>
      <c r="B292" s="11">
        <f>IF(283&lt;=$B$7,$B$6,"")</f>
        <v/>
      </c>
      <c r="C292" s="11">
        <f>IF(283&lt;=$B$7,E291*$B$5/100/12,"")</f>
        <v/>
      </c>
      <c r="D292" s="11">
        <f>IF(283&lt;=$B$7,$B$6-C292,"")</f>
        <v/>
      </c>
      <c r="E292" s="11">
        <f>IF(283&lt;=$B$7,E291-D292,"")</f>
        <v/>
      </c>
    </row>
    <row r="293">
      <c r="A293" s="10">
        <f>IF(284&lt;=$B$7,284,"")</f>
        <v/>
      </c>
      <c r="B293" s="11">
        <f>IF(284&lt;=$B$7,$B$6,"")</f>
        <v/>
      </c>
      <c r="C293" s="11">
        <f>IF(284&lt;=$B$7,E292*$B$5/100/12,"")</f>
        <v/>
      </c>
      <c r="D293" s="11">
        <f>IF(284&lt;=$B$7,$B$6-C293,"")</f>
        <v/>
      </c>
      <c r="E293" s="11">
        <f>IF(284&lt;=$B$7,E292-D293,"")</f>
        <v/>
      </c>
    </row>
    <row r="294">
      <c r="A294" s="10">
        <f>IF(285&lt;=$B$7,285,"")</f>
        <v/>
      </c>
      <c r="B294" s="11">
        <f>IF(285&lt;=$B$7,$B$6,"")</f>
        <v/>
      </c>
      <c r="C294" s="11">
        <f>IF(285&lt;=$B$7,E293*$B$5/100/12,"")</f>
        <v/>
      </c>
      <c r="D294" s="11">
        <f>IF(285&lt;=$B$7,$B$6-C294,"")</f>
        <v/>
      </c>
      <c r="E294" s="11">
        <f>IF(285&lt;=$B$7,E293-D294,"")</f>
        <v/>
      </c>
    </row>
    <row r="295">
      <c r="A295" s="10">
        <f>IF(286&lt;=$B$7,286,"")</f>
        <v/>
      </c>
      <c r="B295" s="11">
        <f>IF(286&lt;=$B$7,$B$6,"")</f>
        <v/>
      </c>
      <c r="C295" s="11">
        <f>IF(286&lt;=$B$7,E294*$B$5/100/12,"")</f>
        <v/>
      </c>
      <c r="D295" s="11">
        <f>IF(286&lt;=$B$7,$B$6-C295,"")</f>
        <v/>
      </c>
      <c r="E295" s="11">
        <f>IF(286&lt;=$B$7,E294-D295,"")</f>
        <v/>
      </c>
    </row>
    <row r="296">
      <c r="A296" s="10">
        <f>IF(287&lt;=$B$7,287,"")</f>
        <v/>
      </c>
      <c r="B296" s="11">
        <f>IF(287&lt;=$B$7,$B$6,"")</f>
        <v/>
      </c>
      <c r="C296" s="11">
        <f>IF(287&lt;=$B$7,E295*$B$5/100/12,"")</f>
        <v/>
      </c>
      <c r="D296" s="11">
        <f>IF(287&lt;=$B$7,$B$6-C296,"")</f>
        <v/>
      </c>
      <c r="E296" s="11">
        <f>IF(287&lt;=$B$7,E295-D296,"")</f>
        <v/>
      </c>
    </row>
    <row r="297">
      <c r="A297" s="10">
        <f>IF(288&lt;=$B$7,288,"")</f>
        <v/>
      </c>
      <c r="B297" s="11">
        <f>IF(288&lt;=$B$7,$B$6,"")</f>
        <v/>
      </c>
      <c r="C297" s="11">
        <f>IF(288&lt;=$B$7,E296*$B$5/100/12,"")</f>
        <v/>
      </c>
      <c r="D297" s="11">
        <f>IF(288&lt;=$B$7,$B$6-C297,"")</f>
        <v/>
      </c>
      <c r="E297" s="11">
        <f>IF(288&lt;=$B$7,E296-D297,"")</f>
        <v/>
      </c>
    </row>
    <row r="298">
      <c r="A298" s="10">
        <f>IF(289&lt;=$B$7,289,"")</f>
        <v/>
      </c>
      <c r="B298" s="11">
        <f>IF(289&lt;=$B$7,$B$6,"")</f>
        <v/>
      </c>
      <c r="C298" s="11">
        <f>IF(289&lt;=$B$7,E297*$B$5/100/12,"")</f>
        <v/>
      </c>
      <c r="D298" s="11">
        <f>IF(289&lt;=$B$7,$B$6-C298,"")</f>
        <v/>
      </c>
      <c r="E298" s="11">
        <f>IF(289&lt;=$B$7,E297-D298,"")</f>
        <v/>
      </c>
    </row>
    <row r="299">
      <c r="A299" s="10">
        <f>IF(290&lt;=$B$7,290,"")</f>
        <v/>
      </c>
      <c r="B299" s="11">
        <f>IF(290&lt;=$B$7,$B$6,"")</f>
        <v/>
      </c>
      <c r="C299" s="11">
        <f>IF(290&lt;=$B$7,E298*$B$5/100/12,"")</f>
        <v/>
      </c>
      <c r="D299" s="11">
        <f>IF(290&lt;=$B$7,$B$6-C299,"")</f>
        <v/>
      </c>
      <c r="E299" s="11">
        <f>IF(290&lt;=$B$7,E298-D299,"")</f>
        <v/>
      </c>
    </row>
    <row r="300">
      <c r="A300" s="10">
        <f>IF(291&lt;=$B$7,291,"")</f>
        <v/>
      </c>
      <c r="B300" s="11">
        <f>IF(291&lt;=$B$7,$B$6,"")</f>
        <v/>
      </c>
      <c r="C300" s="11">
        <f>IF(291&lt;=$B$7,E299*$B$5/100/12,"")</f>
        <v/>
      </c>
      <c r="D300" s="11">
        <f>IF(291&lt;=$B$7,$B$6-C300,"")</f>
        <v/>
      </c>
      <c r="E300" s="11">
        <f>IF(291&lt;=$B$7,E299-D300,"")</f>
        <v/>
      </c>
    </row>
    <row r="301">
      <c r="A301" s="10">
        <f>IF(292&lt;=$B$7,292,"")</f>
        <v/>
      </c>
      <c r="B301" s="11">
        <f>IF(292&lt;=$B$7,$B$6,"")</f>
        <v/>
      </c>
      <c r="C301" s="11">
        <f>IF(292&lt;=$B$7,E300*$B$5/100/12,"")</f>
        <v/>
      </c>
      <c r="D301" s="11">
        <f>IF(292&lt;=$B$7,$B$6-C301,"")</f>
        <v/>
      </c>
      <c r="E301" s="11">
        <f>IF(292&lt;=$B$7,E300-D301,"")</f>
        <v/>
      </c>
    </row>
    <row r="302">
      <c r="A302" s="10">
        <f>IF(293&lt;=$B$7,293,"")</f>
        <v/>
      </c>
      <c r="B302" s="11">
        <f>IF(293&lt;=$B$7,$B$6,"")</f>
        <v/>
      </c>
      <c r="C302" s="11">
        <f>IF(293&lt;=$B$7,E301*$B$5/100/12,"")</f>
        <v/>
      </c>
      <c r="D302" s="11">
        <f>IF(293&lt;=$B$7,$B$6-C302,"")</f>
        <v/>
      </c>
      <c r="E302" s="11">
        <f>IF(293&lt;=$B$7,E301-D302,"")</f>
        <v/>
      </c>
    </row>
    <row r="303">
      <c r="A303" s="10">
        <f>IF(294&lt;=$B$7,294,"")</f>
        <v/>
      </c>
      <c r="B303" s="11">
        <f>IF(294&lt;=$B$7,$B$6,"")</f>
        <v/>
      </c>
      <c r="C303" s="11">
        <f>IF(294&lt;=$B$7,E302*$B$5/100/12,"")</f>
        <v/>
      </c>
      <c r="D303" s="11">
        <f>IF(294&lt;=$B$7,$B$6-C303,"")</f>
        <v/>
      </c>
      <c r="E303" s="11">
        <f>IF(294&lt;=$B$7,E302-D303,"")</f>
        <v/>
      </c>
    </row>
    <row r="304">
      <c r="A304" s="10">
        <f>IF(295&lt;=$B$7,295,"")</f>
        <v/>
      </c>
      <c r="B304" s="11">
        <f>IF(295&lt;=$B$7,$B$6,"")</f>
        <v/>
      </c>
      <c r="C304" s="11">
        <f>IF(295&lt;=$B$7,E303*$B$5/100/12,"")</f>
        <v/>
      </c>
      <c r="D304" s="11">
        <f>IF(295&lt;=$B$7,$B$6-C304,"")</f>
        <v/>
      </c>
      <c r="E304" s="11">
        <f>IF(295&lt;=$B$7,E303-D304,"")</f>
        <v/>
      </c>
    </row>
    <row r="305">
      <c r="A305" s="10">
        <f>IF(296&lt;=$B$7,296,"")</f>
        <v/>
      </c>
      <c r="B305" s="11">
        <f>IF(296&lt;=$B$7,$B$6,"")</f>
        <v/>
      </c>
      <c r="C305" s="11">
        <f>IF(296&lt;=$B$7,E304*$B$5/100/12,"")</f>
        <v/>
      </c>
      <c r="D305" s="11">
        <f>IF(296&lt;=$B$7,$B$6-C305,"")</f>
        <v/>
      </c>
      <c r="E305" s="11">
        <f>IF(296&lt;=$B$7,E304-D305,"")</f>
        <v/>
      </c>
    </row>
    <row r="306">
      <c r="A306" s="10">
        <f>IF(297&lt;=$B$7,297,"")</f>
        <v/>
      </c>
      <c r="B306" s="11">
        <f>IF(297&lt;=$B$7,$B$6,"")</f>
        <v/>
      </c>
      <c r="C306" s="11">
        <f>IF(297&lt;=$B$7,E305*$B$5/100/12,"")</f>
        <v/>
      </c>
      <c r="D306" s="11">
        <f>IF(297&lt;=$B$7,$B$6-C306,"")</f>
        <v/>
      </c>
      <c r="E306" s="11">
        <f>IF(297&lt;=$B$7,E305-D306,"")</f>
        <v/>
      </c>
    </row>
    <row r="307">
      <c r="A307" s="10">
        <f>IF(298&lt;=$B$7,298,"")</f>
        <v/>
      </c>
      <c r="B307" s="11">
        <f>IF(298&lt;=$B$7,$B$6,"")</f>
        <v/>
      </c>
      <c r="C307" s="11">
        <f>IF(298&lt;=$B$7,E306*$B$5/100/12,"")</f>
        <v/>
      </c>
      <c r="D307" s="11">
        <f>IF(298&lt;=$B$7,$B$6-C307,"")</f>
        <v/>
      </c>
      <c r="E307" s="11">
        <f>IF(298&lt;=$B$7,E306-D307,"")</f>
        <v/>
      </c>
    </row>
    <row r="308">
      <c r="A308" s="10">
        <f>IF(299&lt;=$B$7,299,"")</f>
        <v/>
      </c>
      <c r="B308" s="11">
        <f>IF(299&lt;=$B$7,$B$6,"")</f>
        <v/>
      </c>
      <c r="C308" s="11">
        <f>IF(299&lt;=$B$7,E307*$B$5/100/12,"")</f>
        <v/>
      </c>
      <c r="D308" s="11">
        <f>IF(299&lt;=$B$7,$B$6-C308,"")</f>
        <v/>
      </c>
      <c r="E308" s="11">
        <f>IF(299&lt;=$B$7,E307-D308,"")</f>
        <v/>
      </c>
    </row>
    <row r="309">
      <c r="A309" s="10">
        <f>IF(300&lt;=$B$7,300,"")</f>
        <v/>
      </c>
      <c r="B309" s="11">
        <f>IF(300&lt;=$B$7,$B$6,"")</f>
        <v/>
      </c>
      <c r="C309" s="11">
        <f>IF(300&lt;=$B$7,E308*$B$5/100/12,"")</f>
        <v/>
      </c>
      <c r="D309" s="11">
        <f>IF(300&lt;=$B$7,$B$6-C309,"")</f>
        <v/>
      </c>
      <c r="E309" s="11">
        <f>IF(300&lt;=$B$7,E308-D309,"")</f>
        <v/>
      </c>
    </row>
    <row r="310">
      <c r="A310" s="10">
        <f>IF(301&lt;=$B$7,301,"")</f>
        <v/>
      </c>
      <c r="B310" s="11">
        <f>IF(301&lt;=$B$7,$B$6,"")</f>
        <v/>
      </c>
      <c r="C310" s="11">
        <f>IF(301&lt;=$B$7,E309*$B$5/100/12,"")</f>
        <v/>
      </c>
      <c r="D310" s="11">
        <f>IF(301&lt;=$B$7,$B$6-C310,"")</f>
        <v/>
      </c>
      <c r="E310" s="11">
        <f>IF(301&lt;=$B$7,E309-D310,"")</f>
        <v/>
      </c>
    </row>
    <row r="311">
      <c r="A311" s="10">
        <f>IF(302&lt;=$B$7,302,"")</f>
        <v/>
      </c>
      <c r="B311" s="11">
        <f>IF(302&lt;=$B$7,$B$6,"")</f>
        <v/>
      </c>
      <c r="C311" s="11">
        <f>IF(302&lt;=$B$7,E310*$B$5/100/12,"")</f>
        <v/>
      </c>
      <c r="D311" s="11">
        <f>IF(302&lt;=$B$7,$B$6-C311,"")</f>
        <v/>
      </c>
      <c r="E311" s="11">
        <f>IF(302&lt;=$B$7,E310-D311,"")</f>
        <v/>
      </c>
    </row>
    <row r="312">
      <c r="A312" s="10">
        <f>IF(303&lt;=$B$7,303,"")</f>
        <v/>
      </c>
      <c r="B312" s="11">
        <f>IF(303&lt;=$B$7,$B$6,"")</f>
        <v/>
      </c>
      <c r="C312" s="11">
        <f>IF(303&lt;=$B$7,E311*$B$5/100/12,"")</f>
        <v/>
      </c>
      <c r="D312" s="11">
        <f>IF(303&lt;=$B$7,$B$6-C312,"")</f>
        <v/>
      </c>
      <c r="E312" s="11">
        <f>IF(303&lt;=$B$7,E311-D312,"")</f>
        <v/>
      </c>
    </row>
    <row r="313">
      <c r="A313" s="10">
        <f>IF(304&lt;=$B$7,304,"")</f>
        <v/>
      </c>
      <c r="B313" s="11">
        <f>IF(304&lt;=$B$7,$B$6,"")</f>
        <v/>
      </c>
      <c r="C313" s="11">
        <f>IF(304&lt;=$B$7,E312*$B$5/100/12,"")</f>
        <v/>
      </c>
      <c r="D313" s="11">
        <f>IF(304&lt;=$B$7,$B$6-C313,"")</f>
        <v/>
      </c>
      <c r="E313" s="11">
        <f>IF(304&lt;=$B$7,E312-D313,"")</f>
        <v/>
      </c>
    </row>
    <row r="314">
      <c r="A314" s="10">
        <f>IF(305&lt;=$B$7,305,"")</f>
        <v/>
      </c>
      <c r="B314" s="11">
        <f>IF(305&lt;=$B$7,$B$6,"")</f>
        <v/>
      </c>
      <c r="C314" s="11">
        <f>IF(305&lt;=$B$7,E313*$B$5/100/12,"")</f>
        <v/>
      </c>
      <c r="D314" s="11">
        <f>IF(305&lt;=$B$7,$B$6-C314,"")</f>
        <v/>
      </c>
      <c r="E314" s="11">
        <f>IF(305&lt;=$B$7,E313-D314,"")</f>
        <v/>
      </c>
    </row>
    <row r="315">
      <c r="A315" s="10">
        <f>IF(306&lt;=$B$7,306,"")</f>
        <v/>
      </c>
      <c r="B315" s="11">
        <f>IF(306&lt;=$B$7,$B$6,"")</f>
        <v/>
      </c>
      <c r="C315" s="11">
        <f>IF(306&lt;=$B$7,E314*$B$5/100/12,"")</f>
        <v/>
      </c>
      <c r="D315" s="11">
        <f>IF(306&lt;=$B$7,$B$6-C315,"")</f>
        <v/>
      </c>
      <c r="E315" s="11">
        <f>IF(306&lt;=$B$7,E314-D315,"")</f>
        <v/>
      </c>
    </row>
    <row r="316">
      <c r="A316" s="10">
        <f>IF(307&lt;=$B$7,307,"")</f>
        <v/>
      </c>
      <c r="B316" s="11">
        <f>IF(307&lt;=$B$7,$B$6,"")</f>
        <v/>
      </c>
      <c r="C316" s="11">
        <f>IF(307&lt;=$B$7,E315*$B$5/100/12,"")</f>
        <v/>
      </c>
      <c r="D316" s="11">
        <f>IF(307&lt;=$B$7,$B$6-C316,"")</f>
        <v/>
      </c>
      <c r="E316" s="11">
        <f>IF(307&lt;=$B$7,E315-D316,"")</f>
        <v/>
      </c>
    </row>
    <row r="317">
      <c r="A317" s="10">
        <f>IF(308&lt;=$B$7,308,"")</f>
        <v/>
      </c>
      <c r="B317" s="11">
        <f>IF(308&lt;=$B$7,$B$6,"")</f>
        <v/>
      </c>
      <c r="C317" s="11">
        <f>IF(308&lt;=$B$7,E316*$B$5/100/12,"")</f>
        <v/>
      </c>
      <c r="D317" s="11">
        <f>IF(308&lt;=$B$7,$B$6-C317,"")</f>
        <v/>
      </c>
      <c r="E317" s="11">
        <f>IF(308&lt;=$B$7,E316-D317,"")</f>
        <v/>
      </c>
    </row>
    <row r="318">
      <c r="A318" s="10">
        <f>IF(309&lt;=$B$7,309,"")</f>
        <v/>
      </c>
      <c r="B318" s="11">
        <f>IF(309&lt;=$B$7,$B$6,"")</f>
        <v/>
      </c>
      <c r="C318" s="11">
        <f>IF(309&lt;=$B$7,E317*$B$5/100/12,"")</f>
        <v/>
      </c>
      <c r="D318" s="11">
        <f>IF(309&lt;=$B$7,$B$6-C318,"")</f>
        <v/>
      </c>
      <c r="E318" s="11">
        <f>IF(309&lt;=$B$7,E317-D318,"")</f>
        <v/>
      </c>
    </row>
    <row r="319">
      <c r="A319" s="10">
        <f>IF(310&lt;=$B$7,310,"")</f>
        <v/>
      </c>
      <c r="B319" s="11">
        <f>IF(310&lt;=$B$7,$B$6,"")</f>
        <v/>
      </c>
      <c r="C319" s="11">
        <f>IF(310&lt;=$B$7,E318*$B$5/100/12,"")</f>
        <v/>
      </c>
      <c r="D319" s="11">
        <f>IF(310&lt;=$B$7,$B$6-C319,"")</f>
        <v/>
      </c>
      <c r="E319" s="11">
        <f>IF(310&lt;=$B$7,E318-D319,"")</f>
        <v/>
      </c>
    </row>
    <row r="320">
      <c r="A320" s="10">
        <f>IF(311&lt;=$B$7,311,"")</f>
        <v/>
      </c>
      <c r="B320" s="11">
        <f>IF(311&lt;=$B$7,$B$6,"")</f>
        <v/>
      </c>
      <c r="C320" s="11">
        <f>IF(311&lt;=$B$7,E319*$B$5/100/12,"")</f>
        <v/>
      </c>
      <c r="D320" s="11">
        <f>IF(311&lt;=$B$7,$B$6-C320,"")</f>
        <v/>
      </c>
      <c r="E320" s="11">
        <f>IF(311&lt;=$B$7,E319-D320,"")</f>
        <v/>
      </c>
    </row>
    <row r="321">
      <c r="A321" s="10">
        <f>IF(312&lt;=$B$7,312,"")</f>
        <v/>
      </c>
      <c r="B321" s="11">
        <f>IF(312&lt;=$B$7,$B$6,"")</f>
        <v/>
      </c>
      <c r="C321" s="11">
        <f>IF(312&lt;=$B$7,E320*$B$5/100/12,"")</f>
        <v/>
      </c>
      <c r="D321" s="11">
        <f>IF(312&lt;=$B$7,$B$6-C321,"")</f>
        <v/>
      </c>
      <c r="E321" s="11">
        <f>IF(312&lt;=$B$7,E320-D321,"")</f>
        <v/>
      </c>
    </row>
    <row r="322">
      <c r="A322" s="10">
        <f>IF(313&lt;=$B$7,313,"")</f>
        <v/>
      </c>
      <c r="B322" s="11">
        <f>IF(313&lt;=$B$7,$B$6,"")</f>
        <v/>
      </c>
      <c r="C322" s="11">
        <f>IF(313&lt;=$B$7,E321*$B$5/100/12,"")</f>
        <v/>
      </c>
      <c r="D322" s="11">
        <f>IF(313&lt;=$B$7,$B$6-C322,"")</f>
        <v/>
      </c>
      <c r="E322" s="11">
        <f>IF(313&lt;=$B$7,E321-D322,"")</f>
        <v/>
      </c>
    </row>
    <row r="323">
      <c r="A323" s="10">
        <f>IF(314&lt;=$B$7,314,"")</f>
        <v/>
      </c>
      <c r="B323" s="11">
        <f>IF(314&lt;=$B$7,$B$6,"")</f>
        <v/>
      </c>
      <c r="C323" s="11">
        <f>IF(314&lt;=$B$7,E322*$B$5/100/12,"")</f>
        <v/>
      </c>
      <c r="D323" s="11">
        <f>IF(314&lt;=$B$7,$B$6-C323,"")</f>
        <v/>
      </c>
      <c r="E323" s="11">
        <f>IF(314&lt;=$B$7,E322-D323,"")</f>
        <v/>
      </c>
    </row>
    <row r="324">
      <c r="A324" s="10">
        <f>IF(315&lt;=$B$7,315,"")</f>
        <v/>
      </c>
      <c r="B324" s="11">
        <f>IF(315&lt;=$B$7,$B$6,"")</f>
        <v/>
      </c>
      <c r="C324" s="11">
        <f>IF(315&lt;=$B$7,E323*$B$5/100/12,"")</f>
        <v/>
      </c>
      <c r="D324" s="11">
        <f>IF(315&lt;=$B$7,$B$6-C324,"")</f>
        <v/>
      </c>
      <c r="E324" s="11">
        <f>IF(315&lt;=$B$7,E323-D324,"")</f>
        <v/>
      </c>
    </row>
    <row r="325">
      <c r="A325" s="10">
        <f>IF(316&lt;=$B$7,316,"")</f>
        <v/>
      </c>
      <c r="B325" s="11">
        <f>IF(316&lt;=$B$7,$B$6,"")</f>
        <v/>
      </c>
      <c r="C325" s="11">
        <f>IF(316&lt;=$B$7,E324*$B$5/100/12,"")</f>
        <v/>
      </c>
      <c r="D325" s="11">
        <f>IF(316&lt;=$B$7,$B$6-C325,"")</f>
        <v/>
      </c>
      <c r="E325" s="11">
        <f>IF(316&lt;=$B$7,E324-D325,"")</f>
        <v/>
      </c>
    </row>
    <row r="326">
      <c r="A326" s="10">
        <f>IF(317&lt;=$B$7,317,"")</f>
        <v/>
      </c>
      <c r="B326" s="11">
        <f>IF(317&lt;=$B$7,$B$6,"")</f>
        <v/>
      </c>
      <c r="C326" s="11">
        <f>IF(317&lt;=$B$7,E325*$B$5/100/12,"")</f>
        <v/>
      </c>
      <c r="D326" s="11">
        <f>IF(317&lt;=$B$7,$B$6-C326,"")</f>
        <v/>
      </c>
      <c r="E326" s="11">
        <f>IF(317&lt;=$B$7,E325-D326,"")</f>
        <v/>
      </c>
    </row>
    <row r="327">
      <c r="A327" s="10">
        <f>IF(318&lt;=$B$7,318,"")</f>
        <v/>
      </c>
      <c r="B327" s="11">
        <f>IF(318&lt;=$B$7,$B$6,"")</f>
        <v/>
      </c>
      <c r="C327" s="11">
        <f>IF(318&lt;=$B$7,E326*$B$5/100/12,"")</f>
        <v/>
      </c>
      <c r="D327" s="11">
        <f>IF(318&lt;=$B$7,$B$6-C327,"")</f>
        <v/>
      </c>
      <c r="E327" s="11">
        <f>IF(318&lt;=$B$7,E326-D327,"")</f>
        <v/>
      </c>
    </row>
    <row r="328">
      <c r="A328" s="10">
        <f>IF(319&lt;=$B$7,319,"")</f>
        <v/>
      </c>
      <c r="B328" s="11">
        <f>IF(319&lt;=$B$7,$B$6,"")</f>
        <v/>
      </c>
      <c r="C328" s="11">
        <f>IF(319&lt;=$B$7,E327*$B$5/100/12,"")</f>
        <v/>
      </c>
      <c r="D328" s="11">
        <f>IF(319&lt;=$B$7,$B$6-C328,"")</f>
        <v/>
      </c>
      <c r="E328" s="11">
        <f>IF(319&lt;=$B$7,E327-D328,"")</f>
        <v/>
      </c>
    </row>
    <row r="329">
      <c r="A329" s="10">
        <f>IF(320&lt;=$B$7,320,"")</f>
        <v/>
      </c>
      <c r="B329" s="11">
        <f>IF(320&lt;=$B$7,$B$6,"")</f>
        <v/>
      </c>
      <c r="C329" s="11">
        <f>IF(320&lt;=$B$7,E328*$B$5/100/12,"")</f>
        <v/>
      </c>
      <c r="D329" s="11">
        <f>IF(320&lt;=$B$7,$B$6-C329,"")</f>
        <v/>
      </c>
      <c r="E329" s="11">
        <f>IF(320&lt;=$B$7,E328-D329,"")</f>
        <v/>
      </c>
    </row>
    <row r="330">
      <c r="A330" s="10">
        <f>IF(321&lt;=$B$7,321,"")</f>
        <v/>
      </c>
      <c r="B330" s="11">
        <f>IF(321&lt;=$B$7,$B$6,"")</f>
        <v/>
      </c>
      <c r="C330" s="11">
        <f>IF(321&lt;=$B$7,E329*$B$5/100/12,"")</f>
        <v/>
      </c>
      <c r="D330" s="11">
        <f>IF(321&lt;=$B$7,$B$6-C330,"")</f>
        <v/>
      </c>
      <c r="E330" s="11">
        <f>IF(321&lt;=$B$7,E329-D330,"")</f>
        <v/>
      </c>
    </row>
    <row r="331">
      <c r="A331" s="10">
        <f>IF(322&lt;=$B$7,322,"")</f>
        <v/>
      </c>
      <c r="B331" s="11">
        <f>IF(322&lt;=$B$7,$B$6,"")</f>
        <v/>
      </c>
      <c r="C331" s="11">
        <f>IF(322&lt;=$B$7,E330*$B$5/100/12,"")</f>
        <v/>
      </c>
      <c r="D331" s="11">
        <f>IF(322&lt;=$B$7,$B$6-C331,"")</f>
        <v/>
      </c>
      <c r="E331" s="11">
        <f>IF(322&lt;=$B$7,E330-D331,"")</f>
        <v/>
      </c>
    </row>
    <row r="332">
      <c r="A332" s="10">
        <f>IF(323&lt;=$B$7,323,"")</f>
        <v/>
      </c>
      <c r="B332" s="11">
        <f>IF(323&lt;=$B$7,$B$6,"")</f>
        <v/>
      </c>
      <c r="C332" s="11">
        <f>IF(323&lt;=$B$7,E331*$B$5/100/12,"")</f>
        <v/>
      </c>
      <c r="D332" s="11">
        <f>IF(323&lt;=$B$7,$B$6-C332,"")</f>
        <v/>
      </c>
      <c r="E332" s="11">
        <f>IF(323&lt;=$B$7,E331-D332,"")</f>
        <v/>
      </c>
    </row>
    <row r="333">
      <c r="A333" s="10">
        <f>IF(324&lt;=$B$7,324,"")</f>
        <v/>
      </c>
      <c r="B333" s="11">
        <f>IF(324&lt;=$B$7,$B$6,"")</f>
        <v/>
      </c>
      <c r="C333" s="11">
        <f>IF(324&lt;=$B$7,E332*$B$5/100/12,"")</f>
        <v/>
      </c>
      <c r="D333" s="11">
        <f>IF(324&lt;=$B$7,$B$6-C333,"")</f>
        <v/>
      </c>
      <c r="E333" s="11">
        <f>IF(324&lt;=$B$7,E332-D333,"")</f>
        <v/>
      </c>
    </row>
    <row r="334">
      <c r="A334" s="10">
        <f>IF(325&lt;=$B$7,325,"")</f>
        <v/>
      </c>
      <c r="B334" s="11">
        <f>IF(325&lt;=$B$7,$B$6,"")</f>
        <v/>
      </c>
      <c r="C334" s="11">
        <f>IF(325&lt;=$B$7,E333*$B$5/100/12,"")</f>
        <v/>
      </c>
      <c r="D334" s="11">
        <f>IF(325&lt;=$B$7,$B$6-C334,"")</f>
        <v/>
      </c>
      <c r="E334" s="11">
        <f>IF(325&lt;=$B$7,E333-D334,"")</f>
        <v/>
      </c>
    </row>
    <row r="335">
      <c r="A335" s="10">
        <f>IF(326&lt;=$B$7,326,"")</f>
        <v/>
      </c>
      <c r="B335" s="11">
        <f>IF(326&lt;=$B$7,$B$6,"")</f>
        <v/>
      </c>
      <c r="C335" s="11">
        <f>IF(326&lt;=$B$7,E334*$B$5/100/12,"")</f>
        <v/>
      </c>
      <c r="D335" s="11">
        <f>IF(326&lt;=$B$7,$B$6-C335,"")</f>
        <v/>
      </c>
      <c r="E335" s="11">
        <f>IF(326&lt;=$B$7,E334-D335,"")</f>
        <v/>
      </c>
    </row>
    <row r="336">
      <c r="A336" s="10">
        <f>IF(327&lt;=$B$7,327,"")</f>
        <v/>
      </c>
      <c r="B336" s="11">
        <f>IF(327&lt;=$B$7,$B$6,"")</f>
        <v/>
      </c>
      <c r="C336" s="11">
        <f>IF(327&lt;=$B$7,E335*$B$5/100/12,"")</f>
        <v/>
      </c>
      <c r="D336" s="11">
        <f>IF(327&lt;=$B$7,$B$6-C336,"")</f>
        <v/>
      </c>
      <c r="E336" s="11">
        <f>IF(327&lt;=$B$7,E335-D336,"")</f>
        <v/>
      </c>
    </row>
    <row r="337">
      <c r="A337" s="10">
        <f>IF(328&lt;=$B$7,328,"")</f>
        <v/>
      </c>
      <c r="B337" s="11">
        <f>IF(328&lt;=$B$7,$B$6,"")</f>
        <v/>
      </c>
      <c r="C337" s="11">
        <f>IF(328&lt;=$B$7,E336*$B$5/100/12,"")</f>
        <v/>
      </c>
      <c r="D337" s="11">
        <f>IF(328&lt;=$B$7,$B$6-C337,"")</f>
        <v/>
      </c>
      <c r="E337" s="11">
        <f>IF(328&lt;=$B$7,E336-D337,"")</f>
        <v/>
      </c>
    </row>
    <row r="338">
      <c r="A338" s="10">
        <f>IF(329&lt;=$B$7,329,"")</f>
        <v/>
      </c>
      <c r="B338" s="11">
        <f>IF(329&lt;=$B$7,$B$6,"")</f>
        <v/>
      </c>
      <c r="C338" s="11">
        <f>IF(329&lt;=$B$7,E337*$B$5/100/12,"")</f>
        <v/>
      </c>
      <c r="D338" s="11">
        <f>IF(329&lt;=$B$7,$B$6-C338,"")</f>
        <v/>
      </c>
      <c r="E338" s="11">
        <f>IF(329&lt;=$B$7,E337-D338,"")</f>
        <v/>
      </c>
    </row>
    <row r="339">
      <c r="A339" s="10">
        <f>IF(330&lt;=$B$7,330,"")</f>
        <v/>
      </c>
      <c r="B339" s="11">
        <f>IF(330&lt;=$B$7,$B$6,"")</f>
        <v/>
      </c>
      <c r="C339" s="11">
        <f>IF(330&lt;=$B$7,E338*$B$5/100/12,"")</f>
        <v/>
      </c>
      <c r="D339" s="11">
        <f>IF(330&lt;=$B$7,$B$6-C339,"")</f>
        <v/>
      </c>
      <c r="E339" s="11">
        <f>IF(330&lt;=$B$7,E338-D339,"")</f>
        <v/>
      </c>
    </row>
    <row r="340">
      <c r="A340" s="10">
        <f>IF(331&lt;=$B$7,331,"")</f>
        <v/>
      </c>
      <c r="B340" s="11">
        <f>IF(331&lt;=$B$7,$B$6,"")</f>
        <v/>
      </c>
      <c r="C340" s="11">
        <f>IF(331&lt;=$B$7,E339*$B$5/100/12,"")</f>
        <v/>
      </c>
      <c r="D340" s="11">
        <f>IF(331&lt;=$B$7,$B$6-C340,"")</f>
        <v/>
      </c>
      <c r="E340" s="11">
        <f>IF(331&lt;=$B$7,E339-D340,"")</f>
        <v/>
      </c>
    </row>
    <row r="341">
      <c r="A341" s="10">
        <f>IF(332&lt;=$B$7,332,"")</f>
        <v/>
      </c>
      <c r="B341" s="11">
        <f>IF(332&lt;=$B$7,$B$6,"")</f>
        <v/>
      </c>
      <c r="C341" s="11">
        <f>IF(332&lt;=$B$7,E340*$B$5/100/12,"")</f>
        <v/>
      </c>
      <c r="D341" s="11">
        <f>IF(332&lt;=$B$7,$B$6-C341,"")</f>
        <v/>
      </c>
      <c r="E341" s="11">
        <f>IF(332&lt;=$B$7,E340-D341,"")</f>
        <v/>
      </c>
    </row>
    <row r="342">
      <c r="A342" s="10">
        <f>IF(333&lt;=$B$7,333,"")</f>
        <v/>
      </c>
      <c r="B342" s="11">
        <f>IF(333&lt;=$B$7,$B$6,"")</f>
        <v/>
      </c>
      <c r="C342" s="11">
        <f>IF(333&lt;=$B$7,E341*$B$5/100/12,"")</f>
        <v/>
      </c>
      <c r="D342" s="11">
        <f>IF(333&lt;=$B$7,$B$6-C342,"")</f>
        <v/>
      </c>
      <c r="E342" s="11">
        <f>IF(333&lt;=$B$7,E341-D342,"")</f>
        <v/>
      </c>
    </row>
    <row r="343">
      <c r="A343" s="10">
        <f>IF(334&lt;=$B$7,334,"")</f>
        <v/>
      </c>
      <c r="B343" s="11">
        <f>IF(334&lt;=$B$7,$B$6,"")</f>
        <v/>
      </c>
      <c r="C343" s="11">
        <f>IF(334&lt;=$B$7,E342*$B$5/100/12,"")</f>
        <v/>
      </c>
      <c r="D343" s="11">
        <f>IF(334&lt;=$B$7,$B$6-C343,"")</f>
        <v/>
      </c>
      <c r="E343" s="11">
        <f>IF(334&lt;=$B$7,E342-D343,"")</f>
        <v/>
      </c>
    </row>
    <row r="344">
      <c r="A344" s="10">
        <f>IF(335&lt;=$B$7,335,"")</f>
        <v/>
      </c>
      <c r="B344" s="11">
        <f>IF(335&lt;=$B$7,$B$6,"")</f>
        <v/>
      </c>
      <c r="C344" s="11">
        <f>IF(335&lt;=$B$7,E343*$B$5/100/12,"")</f>
        <v/>
      </c>
      <c r="D344" s="11">
        <f>IF(335&lt;=$B$7,$B$6-C344,"")</f>
        <v/>
      </c>
      <c r="E344" s="11">
        <f>IF(335&lt;=$B$7,E343-D344,"")</f>
        <v/>
      </c>
    </row>
    <row r="345">
      <c r="A345" s="10">
        <f>IF(336&lt;=$B$7,336,"")</f>
        <v/>
      </c>
      <c r="B345" s="11">
        <f>IF(336&lt;=$B$7,$B$6,"")</f>
        <v/>
      </c>
      <c r="C345" s="11">
        <f>IF(336&lt;=$B$7,E344*$B$5/100/12,"")</f>
        <v/>
      </c>
      <c r="D345" s="11">
        <f>IF(336&lt;=$B$7,$B$6-C345,"")</f>
        <v/>
      </c>
      <c r="E345" s="11">
        <f>IF(336&lt;=$B$7,E344-D345,"")</f>
        <v/>
      </c>
    </row>
    <row r="346">
      <c r="A346" s="10">
        <f>IF(337&lt;=$B$7,337,"")</f>
        <v/>
      </c>
      <c r="B346" s="11">
        <f>IF(337&lt;=$B$7,$B$6,"")</f>
        <v/>
      </c>
      <c r="C346" s="11">
        <f>IF(337&lt;=$B$7,E345*$B$5/100/12,"")</f>
        <v/>
      </c>
      <c r="D346" s="11">
        <f>IF(337&lt;=$B$7,$B$6-C346,"")</f>
        <v/>
      </c>
      <c r="E346" s="11">
        <f>IF(337&lt;=$B$7,E345-D346,"")</f>
        <v/>
      </c>
    </row>
    <row r="347">
      <c r="A347" s="10">
        <f>IF(338&lt;=$B$7,338,"")</f>
        <v/>
      </c>
      <c r="B347" s="11">
        <f>IF(338&lt;=$B$7,$B$6,"")</f>
        <v/>
      </c>
      <c r="C347" s="11">
        <f>IF(338&lt;=$B$7,E346*$B$5/100/12,"")</f>
        <v/>
      </c>
      <c r="D347" s="11">
        <f>IF(338&lt;=$B$7,$B$6-C347,"")</f>
        <v/>
      </c>
      <c r="E347" s="11">
        <f>IF(338&lt;=$B$7,E346-D347,"")</f>
        <v/>
      </c>
    </row>
    <row r="348">
      <c r="A348" s="10">
        <f>IF(339&lt;=$B$7,339,"")</f>
        <v/>
      </c>
      <c r="B348" s="11">
        <f>IF(339&lt;=$B$7,$B$6,"")</f>
        <v/>
      </c>
      <c r="C348" s="11">
        <f>IF(339&lt;=$B$7,E347*$B$5/100/12,"")</f>
        <v/>
      </c>
      <c r="D348" s="11">
        <f>IF(339&lt;=$B$7,$B$6-C348,"")</f>
        <v/>
      </c>
      <c r="E348" s="11">
        <f>IF(339&lt;=$B$7,E347-D348,"")</f>
        <v/>
      </c>
    </row>
    <row r="349">
      <c r="A349" s="10">
        <f>IF(340&lt;=$B$7,340,"")</f>
        <v/>
      </c>
      <c r="B349" s="11">
        <f>IF(340&lt;=$B$7,$B$6,"")</f>
        <v/>
      </c>
      <c r="C349" s="11">
        <f>IF(340&lt;=$B$7,E348*$B$5/100/12,"")</f>
        <v/>
      </c>
      <c r="D349" s="11">
        <f>IF(340&lt;=$B$7,$B$6-C349,"")</f>
        <v/>
      </c>
      <c r="E349" s="11">
        <f>IF(340&lt;=$B$7,E348-D349,"")</f>
        <v/>
      </c>
    </row>
    <row r="350">
      <c r="A350" s="10">
        <f>IF(341&lt;=$B$7,341,"")</f>
        <v/>
      </c>
      <c r="B350" s="11">
        <f>IF(341&lt;=$B$7,$B$6,"")</f>
        <v/>
      </c>
      <c r="C350" s="11">
        <f>IF(341&lt;=$B$7,E349*$B$5/100/12,"")</f>
        <v/>
      </c>
      <c r="D350" s="11">
        <f>IF(341&lt;=$B$7,$B$6-C350,"")</f>
        <v/>
      </c>
      <c r="E350" s="11">
        <f>IF(341&lt;=$B$7,E349-D350,"")</f>
        <v/>
      </c>
    </row>
    <row r="351">
      <c r="A351" s="10">
        <f>IF(342&lt;=$B$7,342,"")</f>
        <v/>
      </c>
      <c r="B351" s="11">
        <f>IF(342&lt;=$B$7,$B$6,"")</f>
        <v/>
      </c>
      <c r="C351" s="11">
        <f>IF(342&lt;=$B$7,E350*$B$5/100/12,"")</f>
        <v/>
      </c>
      <c r="D351" s="11">
        <f>IF(342&lt;=$B$7,$B$6-C351,"")</f>
        <v/>
      </c>
      <c r="E351" s="11">
        <f>IF(342&lt;=$B$7,E350-D351,"")</f>
        <v/>
      </c>
    </row>
    <row r="352">
      <c r="A352" s="10">
        <f>IF(343&lt;=$B$7,343,"")</f>
        <v/>
      </c>
      <c r="B352" s="11">
        <f>IF(343&lt;=$B$7,$B$6,"")</f>
        <v/>
      </c>
      <c r="C352" s="11">
        <f>IF(343&lt;=$B$7,E351*$B$5/100/12,"")</f>
        <v/>
      </c>
      <c r="D352" s="11">
        <f>IF(343&lt;=$B$7,$B$6-C352,"")</f>
        <v/>
      </c>
      <c r="E352" s="11">
        <f>IF(343&lt;=$B$7,E351-D352,"")</f>
        <v/>
      </c>
    </row>
    <row r="353">
      <c r="A353" s="10">
        <f>IF(344&lt;=$B$7,344,"")</f>
        <v/>
      </c>
      <c r="B353" s="11">
        <f>IF(344&lt;=$B$7,$B$6,"")</f>
        <v/>
      </c>
      <c r="C353" s="11">
        <f>IF(344&lt;=$B$7,E352*$B$5/100/12,"")</f>
        <v/>
      </c>
      <c r="D353" s="11">
        <f>IF(344&lt;=$B$7,$B$6-C353,"")</f>
        <v/>
      </c>
      <c r="E353" s="11">
        <f>IF(344&lt;=$B$7,E352-D353,"")</f>
        <v/>
      </c>
    </row>
    <row r="354">
      <c r="A354" s="10">
        <f>IF(345&lt;=$B$7,345,"")</f>
        <v/>
      </c>
      <c r="B354" s="11">
        <f>IF(345&lt;=$B$7,$B$6,"")</f>
        <v/>
      </c>
      <c r="C354" s="11">
        <f>IF(345&lt;=$B$7,E353*$B$5/100/12,"")</f>
        <v/>
      </c>
      <c r="D354" s="11">
        <f>IF(345&lt;=$B$7,$B$6-C354,"")</f>
        <v/>
      </c>
      <c r="E354" s="11">
        <f>IF(345&lt;=$B$7,E353-D354,"")</f>
        <v/>
      </c>
    </row>
    <row r="355">
      <c r="A355" s="10">
        <f>IF(346&lt;=$B$7,346,"")</f>
        <v/>
      </c>
      <c r="B355" s="11">
        <f>IF(346&lt;=$B$7,$B$6,"")</f>
        <v/>
      </c>
      <c r="C355" s="11">
        <f>IF(346&lt;=$B$7,E354*$B$5/100/12,"")</f>
        <v/>
      </c>
      <c r="D355" s="11">
        <f>IF(346&lt;=$B$7,$B$6-C355,"")</f>
        <v/>
      </c>
      <c r="E355" s="11">
        <f>IF(346&lt;=$B$7,E354-D355,"")</f>
        <v/>
      </c>
    </row>
    <row r="356">
      <c r="A356" s="10">
        <f>IF(347&lt;=$B$7,347,"")</f>
        <v/>
      </c>
      <c r="B356" s="11">
        <f>IF(347&lt;=$B$7,$B$6,"")</f>
        <v/>
      </c>
      <c r="C356" s="11">
        <f>IF(347&lt;=$B$7,E355*$B$5/100/12,"")</f>
        <v/>
      </c>
      <c r="D356" s="11">
        <f>IF(347&lt;=$B$7,$B$6-C356,"")</f>
        <v/>
      </c>
      <c r="E356" s="11">
        <f>IF(347&lt;=$B$7,E355-D356,"")</f>
        <v/>
      </c>
    </row>
    <row r="357">
      <c r="A357" s="10">
        <f>IF(348&lt;=$B$7,348,"")</f>
        <v/>
      </c>
      <c r="B357" s="11">
        <f>IF(348&lt;=$B$7,$B$6,"")</f>
        <v/>
      </c>
      <c r="C357" s="11">
        <f>IF(348&lt;=$B$7,E356*$B$5/100/12,"")</f>
        <v/>
      </c>
      <c r="D357" s="11">
        <f>IF(348&lt;=$B$7,$B$6-C357,"")</f>
        <v/>
      </c>
      <c r="E357" s="11">
        <f>IF(348&lt;=$B$7,E356-D357,"")</f>
        <v/>
      </c>
    </row>
    <row r="358">
      <c r="A358" s="10">
        <f>IF(349&lt;=$B$7,349,"")</f>
        <v/>
      </c>
      <c r="B358" s="11">
        <f>IF(349&lt;=$B$7,$B$6,"")</f>
        <v/>
      </c>
      <c r="C358" s="11">
        <f>IF(349&lt;=$B$7,E357*$B$5/100/12,"")</f>
        <v/>
      </c>
      <c r="D358" s="11">
        <f>IF(349&lt;=$B$7,$B$6-C358,"")</f>
        <v/>
      </c>
      <c r="E358" s="11">
        <f>IF(349&lt;=$B$7,E357-D358,"")</f>
        <v/>
      </c>
    </row>
    <row r="359">
      <c r="A359" s="10">
        <f>IF(350&lt;=$B$7,350,"")</f>
        <v/>
      </c>
      <c r="B359" s="11">
        <f>IF(350&lt;=$B$7,$B$6,"")</f>
        <v/>
      </c>
      <c r="C359" s="11">
        <f>IF(350&lt;=$B$7,E358*$B$5/100/12,"")</f>
        <v/>
      </c>
      <c r="D359" s="11">
        <f>IF(350&lt;=$B$7,$B$6-C359,"")</f>
        <v/>
      </c>
      <c r="E359" s="11">
        <f>IF(350&lt;=$B$7,E358-D359,"")</f>
        <v/>
      </c>
    </row>
    <row r="360">
      <c r="A360" s="10">
        <f>IF(351&lt;=$B$7,351,"")</f>
        <v/>
      </c>
      <c r="B360" s="11">
        <f>IF(351&lt;=$B$7,$B$6,"")</f>
        <v/>
      </c>
      <c r="C360" s="11">
        <f>IF(351&lt;=$B$7,E359*$B$5/100/12,"")</f>
        <v/>
      </c>
      <c r="D360" s="11">
        <f>IF(351&lt;=$B$7,$B$6-C360,"")</f>
        <v/>
      </c>
      <c r="E360" s="11">
        <f>IF(351&lt;=$B$7,E359-D360,"")</f>
        <v/>
      </c>
    </row>
    <row r="361">
      <c r="A361" s="10">
        <f>IF(352&lt;=$B$7,352,"")</f>
        <v/>
      </c>
      <c r="B361" s="11">
        <f>IF(352&lt;=$B$7,$B$6,"")</f>
        <v/>
      </c>
      <c r="C361" s="11">
        <f>IF(352&lt;=$B$7,E360*$B$5/100/12,"")</f>
        <v/>
      </c>
      <c r="D361" s="11">
        <f>IF(352&lt;=$B$7,$B$6-C361,"")</f>
        <v/>
      </c>
      <c r="E361" s="11">
        <f>IF(352&lt;=$B$7,E360-D361,"")</f>
        <v/>
      </c>
    </row>
    <row r="362">
      <c r="A362" s="10">
        <f>IF(353&lt;=$B$7,353,"")</f>
        <v/>
      </c>
      <c r="B362" s="11">
        <f>IF(353&lt;=$B$7,$B$6,"")</f>
        <v/>
      </c>
      <c r="C362" s="11">
        <f>IF(353&lt;=$B$7,E361*$B$5/100/12,"")</f>
        <v/>
      </c>
      <c r="D362" s="11">
        <f>IF(353&lt;=$B$7,$B$6-C362,"")</f>
        <v/>
      </c>
      <c r="E362" s="11">
        <f>IF(353&lt;=$B$7,E361-D362,"")</f>
        <v/>
      </c>
    </row>
    <row r="363">
      <c r="A363" s="10">
        <f>IF(354&lt;=$B$7,354,"")</f>
        <v/>
      </c>
      <c r="B363" s="11">
        <f>IF(354&lt;=$B$7,$B$6,"")</f>
        <v/>
      </c>
      <c r="C363" s="11">
        <f>IF(354&lt;=$B$7,E362*$B$5/100/12,"")</f>
        <v/>
      </c>
      <c r="D363" s="11">
        <f>IF(354&lt;=$B$7,$B$6-C363,"")</f>
        <v/>
      </c>
      <c r="E363" s="11">
        <f>IF(354&lt;=$B$7,E362-D363,"")</f>
        <v/>
      </c>
    </row>
    <row r="364">
      <c r="A364" s="10">
        <f>IF(355&lt;=$B$7,355,"")</f>
        <v/>
      </c>
      <c r="B364" s="11">
        <f>IF(355&lt;=$B$7,$B$6,"")</f>
        <v/>
      </c>
      <c r="C364" s="11">
        <f>IF(355&lt;=$B$7,E363*$B$5/100/12,"")</f>
        <v/>
      </c>
      <c r="D364" s="11">
        <f>IF(355&lt;=$B$7,$B$6-C364,"")</f>
        <v/>
      </c>
      <c r="E364" s="11">
        <f>IF(355&lt;=$B$7,E363-D364,"")</f>
        <v/>
      </c>
    </row>
    <row r="365">
      <c r="A365" s="10">
        <f>IF(356&lt;=$B$7,356,"")</f>
        <v/>
      </c>
      <c r="B365" s="11">
        <f>IF(356&lt;=$B$7,$B$6,"")</f>
        <v/>
      </c>
      <c r="C365" s="11">
        <f>IF(356&lt;=$B$7,E364*$B$5/100/12,"")</f>
        <v/>
      </c>
      <c r="D365" s="11">
        <f>IF(356&lt;=$B$7,$B$6-C365,"")</f>
        <v/>
      </c>
      <c r="E365" s="11">
        <f>IF(356&lt;=$B$7,E364-D365,"")</f>
        <v/>
      </c>
    </row>
    <row r="366">
      <c r="A366" s="10">
        <f>IF(357&lt;=$B$7,357,"")</f>
        <v/>
      </c>
      <c r="B366" s="11">
        <f>IF(357&lt;=$B$7,$B$6,"")</f>
        <v/>
      </c>
      <c r="C366" s="11">
        <f>IF(357&lt;=$B$7,E365*$B$5/100/12,"")</f>
        <v/>
      </c>
      <c r="D366" s="11">
        <f>IF(357&lt;=$B$7,$B$6-C366,"")</f>
        <v/>
      </c>
      <c r="E366" s="11">
        <f>IF(357&lt;=$B$7,E365-D366,"")</f>
        <v/>
      </c>
    </row>
    <row r="367">
      <c r="A367" s="10">
        <f>IF(358&lt;=$B$7,358,"")</f>
        <v/>
      </c>
      <c r="B367" s="11">
        <f>IF(358&lt;=$B$7,$B$6,"")</f>
        <v/>
      </c>
      <c r="C367" s="11">
        <f>IF(358&lt;=$B$7,E366*$B$5/100/12,"")</f>
        <v/>
      </c>
      <c r="D367" s="11">
        <f>IF(358&lt;=$B$7,$B$6-C367,"")</f>
        <v/>
      </c>
      <c r="E367" s="11">
        <f>IF(358&lt;=$B$7,E366-D367,"")</f>
        <v/>
      </c>
    </row>
    <row r="368">
      <c r="A368" s="10">
        <f>IF(359&lt;=$B$7,359,"")</f>
        <v/>
      </c>
      <c r="B368" s="11">
        <f>IF(359&lt;=$B$7,$B$6,"")</f>
        <v/>
      </c>
      <c r="C368" s="11">
        <f>IF(359&lt;=$B$7,E367*$B$5/100/12,"")</f>
        <v/>
      </c>
      <c r="D368" s="11">
        <f>IF(359&lt;=$B$7,$B$6-C368,"")</f>
        <v/>
      </c>
      <c r="E368" s="11">
        <f>IF(359&lt;=$B$7,E367-D368,"")</f>
        <v/>
      </c>
    </row>
    <row r="369">
      <c r="A369" s="10">
        <f>IF(360&lt;=$B$7,360,"")</f>
        <v/>
      </c>
      <c r="B369" s="11">
        <f>IF(360&lt;=$B$7,$B$6,"")</f>
        <v/>
      </c>
      <c r="C369" s="11">
        <f>IF(360&lt;=$B$7,E368*$B$5/100/12,"")</f>
        <v/>
      </c>
      <c r="D369" s="11">
        <f>IF(360&lt;=$B$7,$B$6-C369,"")</f>
        <v/>
      </c>
      <c r="E369" s="11">
        <f>IF(360&lt;=$B$7,E368-D369,"")</f>
        <v/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2026-06-10T08:41:48Z</dcterms:created>
  <dcterms:modified xmlns:dcterms="http://purl.org/dc/terms/" xmlns:xsi="http://www.w3.org/2001/XMLSchema-instance" xsi:type="dcterms:W3CDTF">2026-06-10T08:41:48Z</dcterms:modified>
</cp:coreProperties>
</file>